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firstSheet="6" activeTab="10"/>
  </bookViews>
  <sheets>
    <sheet name="I категория общй" sheetId="4" r:id="rId1"/>
    <sheet name="I категория общй эл" sheetId="18" r:id="rId2"/>
    <sheet name="II категория общий свод" sheetId="6" r:id="rId3"/>
    <sheet name="II категория общий свод эл" sheetId="17" r:id="rId4"/>
    <sheet name="III категория общий свод" sheetId="7" r:id="rId5"/>
    <sheet name="III категория с газ. колон." sheetId="21" r:id="rId6"/>
    <sheet name="III категория общий свод эл" sheetId="16" r:id="rId7"/>
    <sheet name=" 4 категория  общий свод" sheetId="9" r:id="rId8"/>
    <sheet name=" 4 категория  общий свод эл" sheetId="15" r:id="rId9"/>
    <sheet name="5категория общий свод" sheetId="11" r:id="rId10"/>
    <sheet name="5категория общий свод эл" sheetId="14" r:id="rId11"/>
    <sheet name="Лист1" sheetId="19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Excel_BuiltIn_Print_Area_5" localSheetId="7">#REF!</definedName>
    <definedName name="Excel_BuiltIn_Print_Area_5" localSheetId="8">#REF!</definedName>
    <definedName name="Excel_BuiltIn_Print_Area_5" localSheetId="9">#REF!</definedName>
    <definedName name="Excel_BuiltIn_Print_Area_5" localSheetId="10">#REF!</definedName>
    <definedName name="Excel_BuiltIn_Print_Area_5" localSheetId="1">#REF!</definedName>
    <definedName name="Excel_BuiltIn_Print_Area_5" localSheetId="3">#REF!</definedName>
    <definedName name="Excel_BuiltIn_Print_Area_5" localSheetId="4">#REF!</definedName>
    <definedName name="Excel_BuiltIn_Print_Area_5" localSheetId="6">#REF!</definedName>
    <definedName name="Excel_BuiltIn_Print_Area_5">#REF!</definedName>
    <definedName name="Excel1" localSheetId="8">#REF!</definedName>
    <definedName name="Excel1" localSheetId="10">#REF!</definedName>
    <definedName name="Excel1" localSheetId="1">#REF!</definedName>
    <definedName name="Excel1" localSheetId="3">#REF!</definedName>
    <definedName name="Excel1" localSheetId="6">#REF!</definedName>
    <definedName name="Excel1">#REF!</definedName>
    <definedName name="ваув" localSheetId="4">#REF!</definedName>
    <definedName name="ваув" localSheetId="6">#REF!</definedName>
    <definedName name="Введенные_значения" localSheetId="7">IF(' 4 категория  общий свод'!Сум_кред*' 4 категория  общий свод'!Проц_став*' 4 категория  общий свод'!Год_кред*' 4 категория  общий свод'!Нач_кред&gt;0,1,0)</definedName>
    <definedName name="Введенные_значения" localSheetId="8">IF(' 4 категория  общий свод эл'!Сум_кред*' 4 категория  общий свод эл'!Проц_став*' 4 категория  общий свод эл'!Год_кред*' 4 категория  общий свод эл'!Нач_кред&gt;0,1,0)</definedName>
    <definedName name="Введенные_значения" localSheetId="9">#N/A</definedName>
    <definedName name="Введенные_значения" localSheetId="10">#N/A</definedName>
    <definedName name="Введенные_значения" localSheetId="0">IF([0]!Сум_кред*[0]!Проц_став*[0]!Год_кред*[0]!Нач_кред&gt;0,1,0)</definedName>
    <definedName name="Введенные_значения" localSheetId="1">IF('I категория общй эл'!Сум_кред*'I категория общй эл'!Проц_став*'I категория общй эл'!Год_кред*'I категория общй эл'!Нач_кред&gt;0,1,0)</definedName>
    <definedName name="Введенные_значения" localSheetId="2">#N/A</definedName>
    <definedName name="Введенные_значения" localSheetId="3">#N/A</definedName>
    <definedName name="Введенные_значения" localSheetId="6">IF([0]!Сум_кред*[0]!Проц_став*[0]!Год_кред*[0]!Нач_кред&gt;0,1,0)</definedName>
    <definedName name="Введенные_значения">IF([0]!Сум_кред*[0]!Проц_став*[0]!Год_кред*[0]!Нач_кред&gt;0,1,0)</definedName>
    <definedName name="Год_кред" localSheetId="9">#REF!</definedName>
    <definedName name="Год_кред" localSheetId="10">#REF!</definedName>
    <definedName name="Год_кред" localSheetId="1">#REF!</definedName>
    <definedName name="Год_кред" localSheetId="3">#REF!</definedName>
    <definedName name="Год_кред" localSheetId="4">#REF!</definedName>
    <definedName name="Год_кред" localSheetId="6">#REF!</definedName>
    <definedName name="Год_кред">#REF!</definedName>
    <definedName name="Год1" localSheetId="8">#REF!</definedName>
    <definedName name="Год1" localSheetId="10">#REF!</definedName>
    <definedName name="Год1" localSheetId="1">#REF!</definedName>
    <definedName name="Год1" localSheetId="3">#REF!</definedName>
    <definedName name="Год1" localSheetId="6">#REF!</definedName>
    <definedName name="Год1">#REF!</definedName>
    <definedName name="Данные" localSheetId="8">#REF!</definedName>
    <definedName name="Данные" localSheetId="9">#REF!</definedName>
    <definedName name="Данные" localSheetId="10">#REF!</definedName>
    <definedName name="Данные" localSheetId="1">#REF!</definedName>
    <definedName name="Данные" localSheetId="3">#REF!</definedName>
    <definedName name="Данные" localSheetId="4">#REF!</definedName>
    <definedName name="Данные" localSheetId="6">#REF!</definedName>
    <definedName name="Данные">#REF!</definedName>
    <definedName name="Дат_опл" localSheetId="8">#REF!</definedName>
    <definedName name="Дат_опл" localSheetId="9">#REF!</definedName>
    <definedName name="Дат_опл" localSheetId="10">#REF!</definedName>
    <definedName name="Дат_опл" localSheetId="1">#REF!</definedName>
    <definedName name="Дат_опл" localSheetId="3">#REF!</definedName>
    <definedName name="Дат_опл" localSheetId="4">#REF!</definedName>
    <definedName name="Дат_опл" localSheetId="6">#REF!</definedName>
    <definedName name="Дат_опл">#REF!</definedName>
    <definedName name="Дат_плат">#N/A</definedName>
    <definedName name="Доп_плат" localSheetId="8">#REF!</definedName>
    <definedName name="Доп_плат" localSheetId="9">#REF!</definedName>
    <definedName name="Доп_плат" localSheetId="10">#REF!</definedName>
    <definedName name="Доп_плат" localSheetId="1">#REF!</definedName>
    <definedName name="Доп_плат" localSheetId="3">#REF!</definedName>
    <definedName name="Доп_плат" localSheetId="4">#REF!</definedName>
    <definedName name="Доп_плат" localSheetId="6">#REF!</definedName>
    <definedName name="Доп_плат">#REF!</definedName>
    <definedName name="Доп1" localSheetId="8">#REF!</definedName>
    <definedName name="Доп1" localSheetId="10">#REF!</definedName>
    <definedName name="Доп1" localSheetId="1">#REF!</definedName>
    <definedName name="Доп1" localSheetId="3">#REF!</definedName>
    <definedName name="Доп1" localSheetId="6">#REF!</definedName>
    <definedName name="Доп1">#REF!</definedName>
    <definedName name="Кон_сал" localSheetId="7">#REF!</definedName>
    <definedName name="Кон_сал" localSheetId="8">#REF!</definedName>
    <definedName name="Кон_сал" localSheetId="9">#REF!</definedName>
    <definedName name="Кон_сал" localSheetId="10">#REF!</definedName>
    <definedName name="Кон_сал" localSheetId="0">#REF!</definedName>
    <definedName name="Кон_сал" localSheetId="1">#REF!</definedName>
    <definedName name="Кон_сал" localSheetId="3">#REF!</definedName>
    <definedName name="Кон_сал" localSheetId="4">#REF!</definedName>
    <definedName name="Кон_сал" localSheetId="6">#REF!</definedName>
    <definedName name="Кон_сал">#REF!</definedName>
    <definedName name="куй" localSheetId="4">#REF!</definedName>
    <definedName name="куй" localSheetId="6">#REF!</definedName>
    <definedName name="Нак_проц" localSheetId="8">#REF!</definedName>
    <definedName name="Нак_проц" localSheetId="9">#REF!</definedName>
    <definedName name="Нак_проц" localSheetId="10">#REF!</definedName>
    <definedName name="Нак_проц" localSheetId="1">#REF!</definedName>
    <definedName name="Нак_проц" localSheetId="3">#REF!</definedName>
    <definedName name="Нак_проц" localSheetId="4">#REF!</definedName>
    <definedName name="Нак_проц" localSheetId="6">#REF!</definedName>
    <definedName name="Нак_проц">#REF!</definedName>
    <definedName name="Нач_кред" localSheetId="9">#REF!</definedName>
    <definedName name="Нач_кред" localSheetId="10">#REF!</definedName>
    <definedName name="Нач_кред" localSheetId="1">#REF!</definedName>
    <definedName name="Нач_кред" localSheetId="3">#REF!</definedName>
    <definedName name="Нач_кред" localSheetId="4">#REF!</definedName>
    <definedName name="Нач_кред" localSheetId="6">#REF!</definedName>
    <definedName name="Нач_кред">#REF!</definedName>
    <definedName name="Нач_сал" localSheetId="8">#REF!</definedName>
    <definedName name="Нач_сал" localSheetId="9">#REF!</definedName>
    <definedName name="Нач_сал" localSheetId="10">#REF!</definedName>
    <definedName name="Нач_сал" localSheetId="1">#REF!</definedName>
    <definedName name="Нач_сал" localSheetId="3">#REF!</definedName>
    <definedName name="Нач_сал" localSheetId="4">#REF!</definedName>
    <definedName name="Нач_сал" localSheetId="6">#REF!</definedName>
    <definedName name="Нач_сал">#REF!</definedName>
    <definedName name="Ном_плат" localSheetId="8">#REF!</definedName>
    <definedName name="Ном_плат" localSheetId="9">#REF!</definedName>
    <definedName name="Ном_плат" localSheetId="10">#REF!</definedName>
    <definedName name="Ном_плат" localSheetId="1">#REF!</definedName>
    <definedName name="Ном_плат" localSheetId="3">#REF!</definedName>
    <definedName name="Ном_плат" localSheetId="4">#REF!</definedName>
    <definedName name="Ном_плат" localSheetId="6">#REF!</definedName>
    <definedName name="Ном_плат">#REF!</definedName>
    <definedName name="Осн_сум" localSheetId="8">#REF!</definedName>
    <definedName name="Осн_сум" localSheetId="9">#REF!</definedName>
    <definedName name="Осн_сум" localSheetId="10">#REF!</definedName>
    <definedName name="Осн_сум" localSheetId="1">#REF!</definedName>
    <definedName name="Осн_сум" localSheetId="3">#REF!</definedName>
    <definedName name="Осн_сум" localSheetId="4">#REF!</definedName>
    <definedName name="Осн_сум" localSheetId="6">#REF!</definedName>
    <definedName name="Осн_сум">#REF!</definedName>
    <definedName name="План_доп_плат" localSheetId="8">#REF!</definedName>
    <definedName name="План_доп_плат" localSheetId="9">#REF!</definedName>
    <definedName name="План_доп_плат" localSheetId="10">#REF!</definedName>
    <definedName name="План_доп_плат" localSheetId="1">#REF!</definedName>
    <definedName name="План_доп_плат" localSheetId="3">#REF!</definedName>
    <definedName name="План_доп_плат" localSheetId="4">#REF!</definedName>
    <definedName name="План_доп_плат" localSheetId="6">#REF!</definedName>
    <definedName name="План_доп_плат">#REF!</definedName>
    <definedName name="План_мес_плат" localSheetId="8">#REF!</definedName>
    <definedName name="План_мес_плат" localSheetId="9">#REF!</definedName>
    <definedName name="План_мес_плат" localSheetId="10">#REF!</definedName>
    <definedName name="План_мес_плат" localSheetId="1">#REF!</definedName>
    <definedName name="План_мес_плат" localSheetId="3">#REF!</definedName>
    <definedName name="План_мес_плат" localSheetId="4">#REF!</definedName>
    <definedName name="План_мес_плат" localSheetId="6">#REF!</definedName>
    <definedName name="План_мес_плат">#REF!</definedName>
    <definedName name="План_плат" localSheetId="8">#REF!</definedName>
    <definedName name="План_плат" localSheetId="9">#REF!</definedName>
    <definedName name="План_плат" localSheetId="10">#REF!</definedName>
    <definedName name="План_плат" localSheetId="1">#REF!</definedName>
    <definedName name="План_плат" localSheetId="3">#REF!</definedName>
    <definedName name="План_плат" localSheetId="4">#REF!</definedName>
    <definedName name="План_плат" localSheetId="6">#REF!</definedName>
    <definedName name="План_плат">#REF!</definedName>
    <definedName name="План_проц_став" localSheetId="8">#REF!</definedName>
    <definedName name="План_проц_став" localSheetId="9">#REF!</definedName>
    <definedName name="План_проц_став" localSheetId="10">#REF!</definedName>
    <definedName name="План_проц_став" localSheetId="1">#REF!</definedName>
    <definedName name="План_проц_став" localSheetId="3">#REF!</definedName>
    <definedName name="План_проц_став" localSheetId="4">#REF!</definedName>
    <definedName name="План_проц_став" localSheetId="6">#REF!</definedName>
    <definedName name="План_проц_став">#REF!</definedName>
    <definedName name="Полн_печ" localSheetId="7">#REF!</definedName>
    <definedName name="Полн_печ" localSheetId="8">#REF!</definedName>
    <definedName name="Полн_печ" localSheetId="9">#REF!</definedName>
    <definedName name="Полн_печ" localSheetId="10">#REF!</definedName>
    <definedName name="Полн_печ" localSheetId="0">#REF!</definedName>
    <definedName name="Полн_печ" localSheetId="1">#REF!</definedName>
    <definedName name="Полн_печ" localSheetId="3">#REF!</definedName>
    <definedName name="Полн_печ" localSheetId="4">#REF!</definedName>
    <definedName name="Полн_печ" localSheetId="6">#REF!</definedName>
    <definedName name="Полн_печ">#REF!</definedName>
    <definedName name="Посл_строка" localSheetId="7">IF(' 4 категория  общий свод'!Введенные_значения,' 4 категория  общий свод'!Строка_заг+' 4 категория  общий свод'!Число_платежей,' 4 категория  общий свод'!Строка_заг)</definedName>
    <definedName name="Посл_строка" localSheetId="8">IF(' 4 категория  общий свод эл'!Введенные_значения,' 4 категория  общий свод эл'!Строка_заг+' 4 категория  общий свод эл'!Число_платежей,' 4 категория  общий свод эл'!Строка_заг)</definedName>
    <definedName name="Посл_строка" localSheetId="0">IF('I категория общй'!Введенные_значения,[0]!Строка_заг+[0]!Число_платежей,[0]!Строка_заг)</definedName>
    <definedName name="Посл_строка" localSheetId="1">IF('I категория общй эл'!Введенные_значения,'I категория общй эл'!Строка_заг+'I категория общй эл'!Число_платежей,'I категория общй эл'!Строка_заг)</definedName>
    <definedName name="Посл_строка">#N/A</definedName>
    <definedName name="Проц" localSheetId="8">#REF!</definedName>
    <definedName name="Проц" localSheetId="9">#REF!</definedName>
    <definedName name="Проц" localSheetId="10">#REF!</definedName>
    <definedName name="Проц" localSheetId="1">#REF!</definedName>
    <definedName name="Проц" localSheetId="3">#REF!</definedName>
    <definedName name="Проц" localSheetId="4">#REF!</definedName>
    <definedName name="Проц" localSheetId="6">#REF!</definedName>
    <definedName name="Проц">#REF!</definedName>
    <definedName name="Проц_став" localSheetId="9">#REF!</definedName>
    <definedName name="Проц_став" localSheetId="10">#REF!</definedName>
    <definedName name="Проц_став" localSheetId="1">#REF!</definedName>
    <definedName name="Проц_став" localSheetId="3">#REF!</definedName>
    <definedName name="Проц_став" localSheetId="4">#REF!</definedName>
    <definedName name="Проц_став" localSheetId="6">#REF!</definedName>
    <definedName name="Проц_став">#REF!</definedName>
    <definedName name="Проц1" localSheetId="8">#REF!</definedName>
    <definedName name="Проц1" localSheetId="10">#REF!</definedName>
    <definedName name="Проц1" localSheetId="1">#REF!</definedName>
    <definedName name="Проц1" localSheetId="3">#REF!</definedName>
    <definedName name="Проц1" localSheetId="6">#REF!</definedName>
    <definedName name="Проц1">#REF!</definedName>
    <definedName name="Сброс_обл_печати" localSheetId="8">OFFSET(Полн_печ,0,0,[0]!Посл_строка)</definedName>
    <definedName name="Сброс_обл_печати" localSheetId="9">OFFSET('5категория общий свод'!Полн_печ,0,0,Посл_строка)</definedName>
    <definedName name="Сброс_обл_печати" localSheetId="10">OFFSET('5категория общий свод эл'!Полн_печ,0,0,[0]!Посл_строка)</definedName>
    <definedName name="Сброс_обл_печати" localSheetId="1">OFFSET(Полн_печ,0,0,[0]!Посл_строка)</definedName>
    <definedName name="Сброс_обл_печати" localSheetId="3">OFFSET('II категория общий свод эл'!Полн_печ,0,0,[0]!Посл_строка)</definedName>
    <definedName name="Сброс_обл_печати" localSheetId="4">OFFSET('III категория общий свод'!Полн_печ,0,0,[0]!Посл_строка)</definedName>
    <definedName name="Сброс_обл_печати" localSheetId="6">OFFSET('III категория общий свод эл'!Полн_печ,0,0,[0]!Посл_строка)</definedName>
    <definedName name="Сброс_обл_печати">OFFSET(Полн_печ,0,0,Посл_строка)</definedName>
    <definedName name="Сброс1" localSheetId="8">OFFSET(Полн_печ,0,0,[0]!Посл_строка)</definedName>
    <definedName name="Сброс1" localSheetId="10">OFFSET(Полн_печ,0,0,[0]!Посл_строка)</definedName>
    <definedName name="Сброс1" localSheetId="1">OFFSET(Полн_печ,0,0,[0]!Посл_строка)</definedName>
    <definedName name="Сброс1" localSheetId="3">OFFSET('II категория общий свод эл'!Полн_печ,0,0,[0]!Посл_строка)</definedName>
    <definedName name="Сброс1" localSheetId="6">OFFSET(Полн_печ,0,0,[0]!Посл_строка)</definedName>
    <definedName name="Сброс1">OFFSET(Полн_печ,0,0,Посл_строка)</definedName>
    <definedName name="Строка_заг" localSheetId="9">ROW(#REF!)</definedName>
    <definedName name="Строка_заг" localSheetId="10">ROW(#REF!)</definedName>
    <definedName name="Строка_заг" localSheetId="1">ROW(#REF!)</definedName>
    <definedName name="Строка_заг" localSheetId="3">ROW(#REF!)</definedName>
    <definedName name="Строка_заг" localSheetId="4">ROW(#REF!)</definedName>
    <definedName name="Строка_заг" localSheetId="6">ROW(#REF!)</definedName>
    <definedName name="Строка_заг">ROW(#REF!)</definedName>
    <definedName name="Сум_кред" localSheetId="9">#REF!</definedName>
    <definedName name="Сум_кред" localSheetId="10">#REF!</definedName>
    <definedName name="Сум_кред" localSheetId="1">#REF!</definedName>
    <definedName name="Сум_кред" localSheetId="3">#REF!</definedName>
    <definedName name="Сум_кред" localSheetId="4">#REF!</definedName>
    <definedName name="Сум_кред" localSheetId="6">#REF!</definedName>
    <definedName name="Сум_кред">#REF!</definedName>
    <definedName name="Сум_плат" localSheetId="8">#REF!</definedName>
    <definedName name="Сум_плат" localSheetId="9">#REF!</definedName>
    <definedName name="Сум_плат" localSheetId="10">#REF!</definedName>
    <definedName name="Сум_плат" localSheetId="1">#REF!</definedName>
    <definedName name="Сум_плат" localSheetId="3">#REF!</definedName>
    <definedName name="Сум_плат" localSheetId="4">#REF!</definedName>
    <definedName name="Сум_плат" localSheetId="6">#REF!</definedName>
    <definedName name="Сум_плат">#REF!</definedName>
    <definedName name="Сум_проц" localSheetId="8">#REF!</definedName>
    <definedName name="Сум_проц" localSheetId="9">#REF!</definedName>
    <definedName name="Сум_проц" localSheetId="10">#REF!</definedName>
    <definedName name="Сум_проц" localSheetId="1">#REF!</definedName>
    <definedName name="Сум_проц" localSheetId="3">#REF!</definedName>
    <definedName name="Сум_проц" localSheetId="4">#REF!</definedName>
    <definedName name="Сум_проц" localSheetId="6">#REF!</definedName>
    <definedName name="Сум_проц">#REF!</definedName>
    <definedName name="Чис_плат_в_год" localSheetId="8">#REF!</definedName>
    <definedName name="Чис_плат_в_год" localSheetId="9">#REF!</definedName>
    <definedName name="Чис_плат_в_год" localSheetId="10">#REF!</definedName>
    <definedName name="Чис_плат_в_год" localSheetId="1">#REF!</definedName>
    <definedName name="Чис_плат_в_год" localSheetId="3">#REF!</definedName>
    <definedName name="Чис_плат_в_год" localSheetId="4">#REF!</definedName>
    <definedName name="Чис_плат_в_год" localSheetId="6">#REF!</definedName>
    <definedName name="Чис_плат_в_год">#REF!</definedName>
    <definedName name="Число_платежей" localSheetId="9">MATCH(0.01,'5категория общий свод'!Кон_сал,-1)+1</definedName>
    <definedName name="Число_платежей" localSheetId="10">MATCH(0.01,'5категория общий свод эл'!Кон_сал,-1)+1</definedName>
    <definedName name="Число_платежей" localSheetId="1">MATCH(0.01,Кон_сал,-1)+1</definedName>
    <definedName name="Число_платежей" localSheetId="3">MATCH(0.01,'II категория общий свод эл'!Кон_сал,-1)+1</definedName>
    <definedName name="Число_платежей" localSheetId="4">MATCH(0.01,'III категория общий свод'!Кон_сал,-1)+1</definedName>
    <definedName name="Число_платежей" localSheetId="6">MATCH(0.01,'III категория общий свод эл'!Кон_сал,-1)+1</definedName>
    <definedName name="Число_платежей">MATCH(0.01,Кон_сал,-1)+1</definedName>
    <definedName name="Число1" localSheetId="8">MATCH(0.01,Кон_сал,-1)+1</definedName>
    <definedName name="Число1" localSheetId="10">MATCH(0.01,Кон_сал,-1)+1</definedName>
    <definedName name="Число1" localSheetId="1">MATCH(0.01,Кон_сал,-1)+1</definedName>
    <definedName name="Число1" localSheetId="3">MATCH(0.01,'II категория общий свод эл'!Кон_сал,-1)+1</definedName>
    <definedName name="Число1" localSheetId="6">MATCH(0.01,Кон_сал,-1)+1</definedName>
    <definedName name="Число1">MATCH(0.01,Кон_сал,-1)+1</definedName>
  </definedNames>
  <calcPr calcId="144525" iterateDelta="1E-4"/>
</workbook>
</file>

<file path=xl/calcChain.xml><?xml version="1.0" encoding="utf-8"?>
<calcChain xmlns="http://schemas.openxmlformats.org/spreadsheetml/2006/main">
  <c r="P31" i="21" l="1"/>
  <c r="P76" i="21"/>
  <c r="L75" i="21"/>
  <c r="J72" i="21"/>
  <c r="K72" i="21" s="1"/>
  <c r="P70" i="21"/>
  <c r="J70" i="21"/>
  <c r="D68" i="21"/>
  <c r="E67" i="21"/>
  <c r="I67" i="21" s="1"/>
  <c r="E66" i="21"/>
  <c r="E68" i="21" s="1"/>
  <c r="D64" i="21"/>
  <c r="E63" i="21"/>
  <c r="I63" i="21" s="1"/>
  <c r="P59" i="21"/>
  <c r="E59" i="21"/>
  <c r="I59" i="21" s="1"/>
  <c r="E58" i="21"/>
  <c r="I58" i="21" s="1"/>
  <c r="E57" i="21"/>
  <c r="I57" i="21" s="1"/>
  <c r="E56" i="21"/>
  <c r="I56" i="21" s="1"/>
  <c r="E55" i="21"/>
  <c r="I55" i="21" s="1"/>
  <c r="I64" i="21" s="1"/>
  <c r="D53" i="21"/>
  <c r="E52" i="21"/>
  <c r="E51" i="21"/>
  <c r="E50" i="21"/>
  <c r="I50" i="21" s="1"/>
  <c r="E48" i="21"/>
  <c r="I48" i="21" s="1"/>
  <c r="E47" i="21"/>
  <c r="I47" i="21" s="1"/>
  <c r="E46" i="21"/>
  <c r="I46" i="21" s="1"/>
  <c r="E45" i="21"/>
  <c r="I45" i="21" s="1"/>
  <c r="E44" i="21"/>
  <c r="I44" i="21" s="1"/>
  <c r="E42" i="21"/>
  <c r="I42" i="21" s="1"/>
  <c r="E41" i="21"/>
  <c r="I41" i="21" s="1"/>
  <c r="E40" i="21"/>
  <c r="D37" i="21"/>
  <c r="E37" i="21" s="1"/>
  <c r="I37" i="21" s="1"/>
  <c r="D30" i="21"/>
  <c r="E30" i="21" s="1"/>
  <c r="B30" i="21"/>
  <c r="D29" i="21"/>
  <c r="D31" i="21" s="1"/>
  <c r="B29" i="21"/>
  <c r="F25" i="21"/>
  <c r="F33" i="21" s="1"/>
  <c r="L23" i="21"/>
  <c r="C23" i="21"/>
  <c r="L22" i="21"/>
  <c r="M22" i="21" s="1"/>
  <c r="C22" i="21"/>
  <c r="P21" i="21"/>
  <c r="B20" i="21"/>
  <c r="D20" i="21" s="1"/>
  <c r="E20" i="21" s="1"/>
  <c r="D19" i="21"/>
  <c r="E19" i="21" s="1"/>
  <c r="B16" i="21"/>
  <c r="D16" i="21" s="1"/>
  <c r="E16" i="21" s="1"/>
  <c r="B15" i="21"/>
  <c r="D15" i="21" s="1"/>
  <c r="E15" i="21" s="1"/>
  <c r="B14" i="21"/>
  <c r="D14" i="21" s="1"/>
  <c r="E14" i="21" s="1"/>
  <c r="D13" i="21"/>
  <c r="E13" i="21" s="1"/>
  <c r="P12" i="21"/>
  <c r="B12" i="21"/>
  <c r="D12" i="21" s="1"/>
  <c r="P11" i="21"/>
  <c r="E53" i="21" l="1"/>
  <c r="F67" i="21"/>
  <c r="F68" i="21" s="1"/>
  <c r="D17" i="21"/>
  <c r="D11" i="21"/>
  <c r="N22" i="21"/>
  <c r="O22" i="21" s="1"/>
  <c r="P22" i="21" s="1"/>
  <c r="M23" i="21"/>
  <c r="N23" i="21" s="1"/>
  <c r="O23" i="21" s="1"/>
  <c r="P23" i="21" s="1"/>
  <c r="F66" i="21"/>
  <c r="H67" i="21"/>
  <c r="L72" i="21"/>
  <c r="H66" i="21"/>
  <c r="I13" i="21"/>
  <c r="G13" i="21"/>
  <c r="H13" i="21"/>
  <c r="I14" i="21"/>
  <c r="G14" i="21"/>
  <c r="H14" i="21"/>
  <c r="H15" i="21"/>
  <c r="I16" i="21"/>
  <c r="G16" i="21"/>
  <c r="H16" i="21"/>
  <c r="H20" i="21"/>
  <c r="F20" i="21"/>
  <c r="I20" i="21"/>
  <c r="G20" i="21"/>
  <c r="H30" i="21"/>
  <c r="F30" i="21"/>
  <c r="I30" i="21"/>
  <c r="G30" i="21"/>
  <c r="E12" i="21"/>
  <c r="F13" i="21"/>
  <c r="J13" i="21" s="1"/>
  <c r="F14" i="21"/>
  <c r="J14" i="21" s="1"/>
  <c r="F15" i="21"/>
  <c r="F16" i="21"/>
  <c r="I15" i="21"/>
  <c r="G15" i="21"/>
  <c r="H19" i="21"/>
  <c r="F19" i="21"/>
  <c r="I19" i="21"/>
  <c r="G19" i="21"/>
  <c r="E29" i="21"/>
  <c r="F37" i="21"/>
  <c r="H37" i="21"/>
  <c r="F40" i="21"/>
  <c r="H40" i="21"/>
  <c r="F41" i="21"/>
  <c r="H41" i="21"/>
  <c r="F42" i="21"/>
  <c r="H42" i="21"/>
  <c r="F44" i="21"/>
  <c r="H44" i="21"/>
  <c r="F45" i="21"/>
  <c r="H45" i="21"/>
  <c r="F46" i="21"/>
  <c r="H46" i="21"/>
  <c r="F47" i="21"/>
  <c r="H47" i="21"/>
  <c r="F48" i="21"/>
  <c r="H48" i="21"/>
  <c r="F50" i="21"/>
  <c r="H50" i="21"/>
  <c r="M72" i="21"/>
  <c r="N72" i="21"/>
  <c r="O72" i="21" s="1"/>
  <c r="P72" i="21" s="1"/>
  <c r="G37" i="21"/>
  <c r="G40" i="21"/>
  <c r="I40" i="21"/>
  <c r="G41" i="21"/>
  <c r="J41" i="21" s="1"/>
  <c r="G42" i="21"/>
  <c r="G44" i="21"/>
  <c r="J44" i="21" s="1"/>
  <c r="G45" i="21"/>
  <c r="G46" i="21"/>
  <c r="J46" i="21" s="1"/>
  <c r="G47" i="21"/>
  <c r="G48" i="21"/>
  <c r="J48" i="21" s="1"/>
  <c r="G50" i="21"/>
  <c r="G51" i="21"/>
  <c r="I51" i="21"/>
  <c r="G52" i="21"/>
  <c r="I52" i="21"/>
  <c r="F55" i="21"/>
  <c r="H55" i="21"/>
  <c r="F56" i="21"/>
  <c r="H56" i="21"/>
  <c r="F57" i="21"/>
  <c r="H57" i="21"/>
  <c r="F58" i="21"/>
  <c r="H58" i="21"/>
  <c r="F59" i="21"/>
  <c r="H59" i="21"/>
  <c r="F63" i="21"/>
  <c r="H63" i="21"/>
  <c r="E64" i="21"/>
  <c r="G66" i="21"/>
  <c r="I66" i="21"/>
  <c r="I68" i="21" s="1"/>
  <c r="G67" i="21"/>
  <c r="G68" i="21" s="1"/>
  <c r="K70" i="21"/>
  <c r="L70" i="21" s="1"/>
  <c r="M75" i="21"/>
  <c r="N75" i="21" s="1"/>
  <c r="O75" i="21" s="1"/>
  <c r="O76" i="21" s="1"/>
  <c r="F51" i="21"/>
  <c r="H51" i="21"/>
  <c r="F52" i="21"/>
  <c r="H52" i="21"/>
  <c r="G55" i="21"/>
  <c r="G56" i="21"/>
  <c r="G57" i="21"/>
  <c r="J57" i="21" s="1"/>
  <c r="G58" i="21"/>
  <c r="G59" i="21"/>
  <c r="G63" i="21"/>
  <c r="R35" i="21"/>
  <c r="D89" i="21"/>
  <c r="P53" i="14"/>
  <c r="P51" i="14"/>
  <c r="P50" i="14"/>
  <c r="P49" i="14"/>
  <c r="P48" i="14"/>
  <c r="P47" i="14"/>
  <c r="P46" i="14"/>
  <c r="P44" i="14"/>
  <c r="P43" i="14"/>
  <c r="P42" i="14"/>
  <c r="P39" i="14"/>
  <c r="P32" i="14"/>
  <c r="P33" i="14" s="1"/>
  <c r="P31" i="14"/>
  <c r="P20" i="14"/>
  <c r="P19" i="14"/>
  <c r="P17" i="14"/>
  <c r="P21" i="14" s="1"/>
  <c r="P16" i="14"/>
  <c r="P15" i="14"/>
  <c r="P14" i="14"/>
  <c r="P13" i="14"/>
  <c r="P12" i="14"/>
  <c r="P11" i="14"/>
  <c r="P57" i="11"/>
  <c r="P53" i="11"/>
  <c r="P51" i="11"/>
  <c r="P50" i="11"/>
  <c r="P49" i="11"/>
  <c r="P48" i="11"/>
  <c r="P47" i="11"/>
  <c r="P44" i="11"/>
  <c r="P43" i="11"/>
  <c r="P42" i="11"/>
  <c r="P32" i="11"/>
  <c r="P31" i="11"/>
  <c r="P21" i="11"/>
  <c r="P20" i="11"/>
  <c r="P19" i="11"/>
  <c r="P17" i="11"/>
  <c r="P16" i="11"/>
  <c r="P15" i="11"/>
  <c r="P12" i="11"/>
  <c r="P11" i="11"/>
  <c r="J67" i="21" l="1"/>
  <c r="J63" i="21"/>
  <c r="J58" i="21"/>
  <c r="J56" i="21"/>
  <c r="J64" i="21" s="1"/>
  <c r="J59" i="21"/>
  <c r="J47" i="21"/>
  <c r="L47" i="21" s="1"/>
  <c r="J42" i="21"/>
  <c r="J15" i="21"/>
  <c r="K15" i="21" s="1"/>
  <c r="L15" i="21" s="1"/>
  <c r="J16" i="21"/>
  <c r="J50" i="21"/>
  <c r="J45" i="21"/>
  <c r="J19" i="21"/>
  <c r="K19" i="21" s="1"/>
  <c r="L19" i="21" s="1"/>
  <c r="J52" i="21"/>
  <c r="J51" i="21"/>
  <c r="K51" i="21" s="1"/>
  <c r="L51" i="21" s="1"/>
  <c r="J55" i="21"/>
  <c r="I53" i="21"/>
  <c r="J37" i="21"/>
  <c r="J30" i="21"/>
  <c r="K30" i="21" s="1"/>
  <c r="L30" i="21" s="1"/>
  <c r="H68" i="21"/>
  <c r="K63" i="21"/>
  <c r="L63" i="21" s="1"/>
  <c r="K58" i="21"/>
  <c r="L58" i="21" s="1"/>
  <c r="K56" i="21"/>
  <c r="L56" i="21" s="1"/>
  <c r="K59" i="21"/>
  <c r="L59" i="21"/>
  <c r="K48" i="21"/>
  <c r="L48" i="21"/>
  <c r="K46" i="21"/>
  <c r="L46" i="21"/>
  <c r="K44" i="21"/>
  <c r="L44" i="21"/>
  <c r="K41" i="21"/>
  <c r="L41" i="21"/>
  <c r="K45" i="21"/>
  <c r="L45" i="21" s="1"/>
  <c r="K16" i="21"/>
  <c r="L16" i="21" s="1"/>
  <c r="K52" i="21"/>
  <c r="L52" i="21" s="1"/>
  <c r="K55" i="21"/>
  <c r="L55" i="21" s="1"/>
  <c r="K47" i="21"/>
  <c r="K42" i="21"/>
  <c r="L42" i="21" s="1"/>
  <c r="K37" i="21"/>
  <c r="L37" i="21" s="1"/>
  <c r="K57" i="21"/>
  <c r="L57" i="21" s="1"/>
  <c r="K67" i="21"/>
  <c r="J66" i="21"/>
  <c r="G64" i="21"/>
  <c r="H64" i="21"/>
  <c r="G53" i="21"/>
  <c r="H53" i="21"/>
  <c r="F64" i="21"/>
  <c r="M70" i="21"/>
  <c r="N70" i="21" s="1"/>
  <c r="O70" i="21" s="1"/>
  <c r="J40" i="21"/>
  <c r="F53" i="21"/>
  <c r="H29" i="21"/>
  <c r="F29" i="21"/>
  <c r="I29" i="21"/>
  <c r="G29" i="21"/>
  <c r="K14" i="21"/>
  <c r="L14" i="21"/>
  <c r="K13" i="21"/>
  <c r="L13" i="21"/>
  <c r="H12" i="21"/>
  <c r="F12" i="21"/>
  <c r="E17" i="21"/>
  <c r="E21" i="21" s="1"/>
  <c r="I12" i="21"/>
  <c r="E11" i="21"/>
  <c r="G12" i="21"/>
  <c r="J20" i="21"/>
  <c r="P71" i="15"/>
  <c r="P69" i="15"/>
  <c r="P67" i="15"/>
  <c r="P66" i="15"/>
  <c r="P64" i="15"/>
  <c r="P63" i="15"/>
  <c r="P59" i="15"/>
  <c r="P58" i="15"/>
  <c r="P57" i="15"/>
  <c r="P56" i="15"/>
  <c r="P55" i="15"/>
  <c r="P52" i="15"/>
  <c r="P51" i="15"/>
  <c r="P50" i="15"/>
  <c r="P47" i="15"/>
  <c r="P46" i="15"/>
  <c r="P45" i="15"/>
  <c r="P44" i="15"/>
  <c r="P42" i="15"/>
  <c r="P41" i="15"/>
  <c r="P53" i="15" s="1"/>
  <c r="P37" i="15"/>
  <c r="P30" i="15"/>
  <c r="P29" i="15"/>
  <c r="P31" i="15" s="1"/>
  <c r="P20" i="15"/>
  <c r="P17" i="15"/>
  <c r="P16" i="15"/>
  <c r="P15" i="15"/>
  <c r="P14" i="15"/>
  <c r="P13" i="15"/>
  <c r="P18" i="15" s="1"/>
  <c r="P21" i="15" s="1"/>
  <c r="P12" i="15"/>
  <c r="P69" i="9"/>
  <c r="P41" i="9"/>
  <c r="K50" i="21" l="1"/>
  <c r="L50" i="21" s="1"/>
  <c r="M50" i="21" s="1"/>
  <c r="N50" i="21" s="1"/>
  <c r="O50" i="21" s="1"/>
  <c r="P50" i="21" s="1"/>
  <c r="J29" i="21"/>
  <c r="K29" i="21"/>
  <c r="M15" i="21"/>
  <c r="N15" i="21" s="1"/>
  <c r="O15" i="21" s="1"/>
  <c r="P15" i="21" s="1"/>
  <c r="M56" i="21"/>
  <c r="N56" i="21" s="1"/>
  <c r="O56" i="21" s="1"/>
  <c r="P56" i="21" s="1"/>
  <c r="M63" i="21"/>
  <c r="N63" i="21" s="1"/>
  <c r="O63" i="21" s="1"/>
  <c r="P63" i="21" s="1"/>
  <c r="M30" i="21"/>
  <c r="N30" i="21" s="1"/>
  <c r="O30" i="21" s="1"/>
  <c r="M16" i="21"/>
  <c r="N16" i="21"/>
  <c r="O16" i="21" s="1"/>
  <c r="P16" i="21" s="1"/>
  <c r="M45" i="21"/>
  <c r="N45" i="21"/>
  <c r="O45" i="21" s="1"/>
  <c r="P45" i="21" s="1"/>
  <c r="M58" i="21"/>
  <c r="N58" i="21"/>
  <c r="O58" i="21" s="1"/>
  <c r="P58" i="21" s="1"/>
  <c r="K20" i="21"/>
  <c r="H17" i="21"/>
  <c r="H21" i="21" s="1"/>
  <c r="H11" i="21"/>
  <c r="M13" i="21"/>
  <c r="N13" i="21" s="1"/>
  <c r="O13" i="21" s="1"/>
  <c r="P13" i="21" s="1"/>
  <c r="M14" i="21"/>
  <c r="N14" i="21" s="1"/>
  <c r="O14" i="21" s="1"/>
  <c r="P14" i="21" s="1"/>
  <c r="J53" i="21"/>
  <c r="K40" i="21"/>
  <c r="L40" i="21"/>
  <c r="K66" i="21"/>
  <c r="L66" i="21" s="1"/>
  <c r="J68" i="21"/>
  <c r="M57" i="21"/>
  <c r="N57" i="21" s="1"/>
  <c r="O57" i="21" s="1"/>
  <c r="P57" i="21" s="1"/>
  <c r="M37" i="21"/>
  <c r="N37" i="21" s="1"/>
  <c r="O37" i="21" s="1"/>
  <c r="M42" i="21"/>
  <c r="N42" i="21" s="1"/>
  <c r="O42" i="21" s="1"/>
  <c r="P42" i="21" s="1"/>
  <c r="M47" i="21"/>
  <c r="N47" i="21" s="1"/>
  <c r="O47" i="21" s="1"/>
  <c r="P47" i="21" s="1"/>
  <c r="L64" i="21"/>
  <c r="M55" i="21"/>
  <c r="N55" i="21" s="1"/>
  <c r="M52" i="21"/>
  <c r="N52" i="21" s="1"/>
  <c r="O52" i="21" s="1"/>
  <c r="P52" i="21" s="1"/>
  <c r="M19" i="21"/>
  <c r="N19" i="21" s="1"/>
  <c r="O19" i="21" s="1"/>
  <c r="P19" i="21" s="1"/>
  <c r="M41" i="21"/>
  <c r="N41" i="21" s="1"/>
  <c r="O41" i="21" s="1"/>
  <c r="P41" i="21" s="1"/>
  <c r="M44" i="21"/>
  <c r="N44" i="21" s="1"/>
  <c r="O44" i="21" s="1"/>
  <c r="P44" i="21" s="1"/>
  <c r="M46" i="21"/>
  <c r="N46" i="21" s="1"/>
  <c r="O46" i="21" s="1"/>
  <c r="P46" i="21" s="1"/>
  <c r="M59" i="21"/>
  <c r="N59" i="21" s="1"/>
  <c r="O59" i="21" s="1"/>
  <c r="G17" i="21"/>
  <c r="G21" i="21" s="1"/>
  <c r="G11" i="21"/>
  <c r="I17" i="21"/>
  <c r="I21" i="21" s="1"/>
  <c r="I11" i="21"/>
  <c r="F17" i="21"/>
  <c r="F21" i="21" s="1"/>
  <c r="F11" i="21"/>
  <c r="J12" i="21"/>
  <c r="K68" i="21"/>
  <c r="L67" i="21"/>
  <c r="K64" i="21"/>
  <c r="M51" i="21"/>
  <c r="N51" i="21" s="1"/>
  <c r="O51" i="21" s="1"/>
  <c r="P51" i="21" s="1"/>
  <c r="M48" i="21"/>
  <c r="N48" i="21" s="1"/>
  <c r="O48" i="21" s="1"/>
  <c r="P48" i="21" s="1"/>
  <c r="P66" i="9"/>
  <c r="P44" i="9"/>
  <c r="P75" i="9"/>
  <c r="P71" i="9"/>
  <c r="P67" i="9"/>
  <c r="P64" i="9"/>
  <c r="P63" i="9"/>
  <c r="P59" i="9"/>
  <c r="P58" i="9"/>
  <c r="P57" i="9"/>
  <c r="P56" i="9"/>
  <c r="P55" i="9"/>
  <c r="P52" i="9"/>
  <c r="P51" i="9"/>
  <c r="P50" i="9"/>
  <c r="P47" i="9"/>
  <c r="P46" i="9"/>
  <c r="P45" i="9"/>
  <c r="P42" i="9"/>
  <c r="P37" i="9"/>
  <c r="P31" i="9"/>
  <c r="P30" i="9"/>
  <c r="P29" i="9"/>
  <c r="P20" i="9"/>
  <c r="P17" i="9"/>
  <c r="P16" i="9"/>
  <c r="P14" i="9"/>
  <c r="P13" i="9"/>
  <c r="P12" i="9"/>
  <c r="P78" i="16"/>
  <c r="P72" i="16"/>
  <c r="P70" i="16"/>
  <c r="P68" i="16"/>
  <c r="P67" i="16"/>
  <c r="P66" i="16"/>
  <c r="P64" i="16"/>
  <c r="P63" i="16"/>
  <c r="P59" i="16"/>
  <c r="P58" i="16"/>
  <c r="P57" i="16"/>
  <c r="P56" i="16"/>
  <c r="P55" i="16"/>
  <c r="P52" i="16"/>
  <c r="P51" i="16"/>
  <c r="P53" i="16" s="1"/>
  <c r="P50" i="16"/>
  <c r="P48" i="16"/>
  <c r="P47" i="16"/>
  <c r="P46" i="16"/>
  <c r="P45" i="16"/>
  <c r="P44" i="16"/>
  <c r="P42" i="16"/>
  <c r="P41" i="16"/>
  <c r="P40" i="16"/>
  <c r="P37" i="16"/>
  <c r="P31" i="16"/>
  <c r="P30" i="16"/>
  <c r="P29" i="16"/>
  <c r="P23" i="16"/>
  <c r="P22" i="16"/>
  <c r="P21" i="16"/>
  <c r="P19" i="16"/>
  <c r="P16" i="16"/>
  <c r="P15" i="16"/>
  <c r="P14" i="16"/>
  <c r="P13" i="16"/>
  <c r="P12" i="16"/>
  <c r="P11" i="16"/>
  <c r="P17" i="16" s="1"/>
  <c r="P76" i="7"/>
  <c r="P70" i="7"/>
  <c r="P59" i="7"/>
  <c r="P31" i="7"/>
  <c r="P21" i="7"/>
  <c r="P12" i="7"/>
  <c r="P11" i="7"/>
  <c r="K53" i="21" l="1"/>
  <c r="L29" i="21"/>
  <c r="M66" i="21"/>
  <c r="N66" i="21" s="1"/>
  <c r="O66" i="21" s="1"/>
  <c r="P66" i="21" s="1"/>
  <c r="P37" i="21"/>
  <c r="P17" i="21"/>
  <c r="N64" i="21"/>
  <c r="O55" i="21"/>
  <c r="L53" i="21"/>
  <c r="M40" i="21"/>
  <c r="M53" i="21" s="1"/>
  <c r="L68" i="21"/>
  <c r="M67" i="21"/>
  <c r="M68" i="21" s="1"/>
  <c r="J17" i="21"/>
  <c r="J21" i="21" s="1"/>
  <c r="K12" i="21"/>
  <c r="J11" i="21"/>
  <c r="M64" i="21"/>
  <c r="L20" i="21"/>
  <c r="M29" i="21"/>
  <c r="N29" i="21" s="1"/>
  <c r="O29" i="21" s="1"/>
  <c r="P77" i="17"/>
  <c r="N40" i="21" l="1"/>
  <c r="O31" i="21"/>
  <c r="P29" i="21"/>
  <c r="M20" i="21"/>
  <c r="K11" i="21"/>
  <c r="K17" i="21"/>
  <c r="K21" i="21" s="1"/>
  <c r="N53" i="21"/>
  <c r="O40" i="21"/>
  <c r="L12" i="21"/>
  <c r="N67" i="21"/>
  <c r="O64" i="21"/>
  <c r="P64" i="21" s="1"/>
  <c r="P55" i="21"/>
  <c r="P53" i="17"/>
  <c r="P54" i="17" s="1"/>
  <c r="P52" i="17"/>
  <c r="P51" i="17"/>
  <c r="P49" i="17"/>
  <c r="P48" i="17"/>
  <c r="P47" i="17"/>
  <c r="P45" i="17"/>
  <c r="P43" i="17"/>
  <c r="P42" i="17"/>
  <c r="P38" i="17"/>
  <c r="P32" i="17"/>
  <c r="P31" i="17"/>
  <c r="P30" i="17"/>
  <c r="P23" i="17"/>
  <c r="P22" i="17"/>
  <c r="P20" i="17"/>
  <c r="P21" i="17" s="1"/>
  <c r="P17" i="17"/>
  <c r="P16" i="17"/>
  <c r="P15" i="17"/>
  <c r="P14" i="17"/>
  <c r="P18" i="17" s="1"/>
  <c r="P13" i="17"/>
  <c r="P13" i="6"/>
  <c r="P65" i="6"/>
  <c r="P60" i="6"/>
  <c r="P59" i="6"/>
  <c r="P58" i="6"/>
  <c r="P57" i="6"/>
  <c r="P56" i="6"/>
  <c r="P53" i="6"/>
  <c r="P52" i="6"/>
  <c r="P51" i="6"/>
  <c r="P49" i="6"/>
  <c r="P48" i="6"/>
  <c r="P47" i="6"/>
  <c r="P45" i="6"/>
  <c r="P43" i="6"/>
  <c r="P42" i="6"/>
  <c r="P38" i="6"/>
  <c r="P32" i="6"/>
  <c r="P30" i="6"/>
  <c r="P23" i="6"/>
  <c r="P22" i="6"/>
  <c r="P20" i="6"/>
  <c r="P17" i="6"/>
  <c r="P16" i="6"/>
  <c r="P14" i="6"/>
  <c r="N68" i="21" l="1"/>
  <c r="O67" i="21"/>
  <c r="O53" i="21"/>
  <c r="P53" i="21"/>
  <c r="N20" i="21"/>
  <c r="L17" i="21"/>
  <c r="L21" i="21" s="1"/>
  <c r="M12" i="21"/>
  <c r="N12" i="21" s="1"/>
  <c r="L11" i="21"/>
  <c r="P78" i="18"/>
  <c r="P23" i="18"/>
  <c r="P22" i="18"/>
  <c r="P20" i="18"/>
  <c r="P19" i="18"/>
  <c r="P21" i="18" s="1"/>
  <c r="P77" i="18"/>
  <c r="P76" i="18"/>
  <c r="P74" i="18"/>
  <c r="P63" i="18"/>
  <c r="P64" i="18" s="1"/>
  <c r="P58" i="18"/>
  <c r="P57" i="18"/>
  <c r="P56" i="18"/>
  <c r="P55" i="18"/>
  <c r="P53" i="18"/>
  <c r="P52" i="18"/>
  <c r="P51" i="18"/>
  <c r="P50" i="18"/>
  <c r="P48" i="18"/>
  <c r="P47" i="18"/>
  <c r="P46" i="18"/>
  <c r="P45" i="18"/>
  <c r="P44" i="18"/>
  <c r="P42" i="18"/>
  <c r="P41" i="18"/>
  <c r="P37" i="18"/>
  <c r="P31" i="18"/>
  <c r="P30" i="18"/>
  <c r="P29" i="18"/>
  <c r="P16" i="18"/>
  <c r="P15" i="18"/>
  <c r="P14" i="18"/>
  <c r="P13" i="18"/>
  <c r="P12" i="18"/>
  <c r="P17" i="18" s="1"/>
  <c r="P11" i="18"/>
  <c r="P78" i="4"/>
  <c r="P77" i="4"/>
  <c r="P75" i="4"/>
  <c r="P70" i="4"/>
  <c r="P72" i="4"/>
  <c r="P69" i="4"/>
  <c r="P68" i="4"/>
  <c r="P67" i="4"/>
  <c r="P64" i="4"/>
  <c r="P59" i="4"/>
  <c r="P58" i="4"/>
  <c r="P57" i="4"/>
  <c r="P56" i="4"/>
  <c r="P54" i="4"/>
  <c r="P53" i="4"/>
  <c r="P52" i="4"/>
  <c r="P51" i="4"/>
  <c r="P49" i="4"/>
  <c r="P48" i="4"/>
  <c r="P47" i="4"/>
  <c r="P46" i="4"/>
  <c r="P45" i="4"/>
  <c r="P43" i="4"/>
  <c r="P42" i="4"/>
  <c r="P38" i="4"/>
  <c r="P32" i="4"/>
  <c r="P30" i="4"/>
  <c r="P24" i="4"/>
  <c r="P23" i="4"/>
  <c r="P21" i="4"/>
  <c r="P20" i="4"/>
  <c r="P17" i="4"/>
  <c r="P16" i="4"/>
  <c r="P14" i="4"/>
  <c r="P13" i="4"/>
  <c r="P12" i="4"/>
  <c r="M17" i="21" l="1"/>
  <c r="M21" i="21" s="1"/>
  <c r="M11" i="21"/>
  <c r="O20" i="21"/>
  <c r="O68" i="21"/>
  <c r="N17" i="21"/>
  <c r="N21" i="21" s="1"/>
  <c r="O12" i="21"/>
  <c r="O11" i="21" s="1"/>
  <c r="O17" i="21" s="1"/>
  <c r="N11" i="21"/>
  <c r="P54" i="6"/>
  <c r="P65" i="4"/>
  <c r="O21" i="21" l="1"/>
  <c r="O78" i="21" s="1"/>
  <c r="P33" i="11"/>
  <c r="P46" i="11"/>
  <c r="P14" i="11"/>
  <c r="P13" i="11"/>
  <c r="P15" i="9"/>
  <c r="P69" i="17"/>
  <c r="P68" i="17"/>
  <c r="P67" i="17"/>
  <c r="P64" i="17"/>
  <c r="P59" i="17"/>
  <c r="P57" i="17"/>
  <c r="P15" i="6"/>
  <c r="P18" i="6"/>
  <c r="P31" i="6"/>
  <c r="P64" i="6"/>
  <c r="P67" i="6"/>
  <c r="P68" i="6"/>
  <c r="P69" i="6"/>
  <c r="P67" i="18"/>
  <c r="M77" i="18" l="1"/>
  <c r="N77" i="18" s="1"/>
  <c r="O77" i="18" s="1"/>
  <c r="L77" i="18"/>
  <c r="N76" i="18"/>
  <c r="O76" i="18" s="1"/>
  <c r="M76" i="18"/>
  <c r="L76" i="18"/>
  <c r="E68" i="18"/>
  <c r="D68" i="18"/>
  <c r="G67" i="18"/>
  <c r="F67" i="18"/>
  <c r="F68" i="18" s="1"/>
  <c r="E67" i="18"/>
  <c r="I67" i="18" s="1"/>
  <c r="I68" i="18" s="1"/>
  <c r="G66" i="18"/>
  <c r="F66" i="18"/>
  <c r="E66" i="18"/>
  <c r="I66" i="18" s="1"/>
  <c r="F64" i="18"/>
  <c r="E64" i="18"/>
  <c r="D64" i="18"/>
  <c r="H63" i="18"/>
  <c r="G63" i="18"/>
  <c r="F63" i="18"/>
  <c r="E63" i="18"/>
  <c r="I63" i="18" s="1"/>
  <c r="H59" i="18"/>
  <c r="G59" i="18"/>
  <c r="F59" i="18"/>
  <c r="E59" i="18"/>
  <c r="I59" i="18" s="1"/>
  <c r="H58" i="18"/>
  <c r="G58" i="18"/>
  <c r="F58" i="18"/>
  <c r="E58" i="18"/>
  <c r="I58" i="18" s="1"/>
  <c r="H57" i="18"/>
  <c r="G57" i="18"/>
  <c r="F57" i="18"/>
  <c r="E57" i="18"/>
  <c r="I57" i="18" s="1"/>
  <c r="H56" i="18"/>
  <c r="G56" i="18"/>
  <c r="F56" i="18"/>
  <c r="E56" i="18"/>
  <c r="I56" i="18" s="1"/>
  <c r="H55" i="18"/>
  <c r="G55" i="18"/>
  <c r="F55" i="18"/>
  <c r="E55" i="18"/>
  <c r="I55" i="18" s="1"/>
  <c r="D53" i="18"/>
  <c r="E52" i="18"/>
  <c r="I51" i="18"/>
  <c r="H51" i="18"/>
  <c r="E51" i="18"/>
  <c r="E50" i="18"/>
  <c r="E48" i="18"/>
  <c r="H47" i="18"/>
  <c r="G47" i="18"/>
  <c r="E47" i="18"/>
  <c r="I47" i="18" s="1"/>
  <c r="I46" i="18"/>
  <c r="H46" i="18"/>
  <c r="G46" i="18"/>
  <c r="E46" i="18"/>
  <c r="I45" i="18"/>
  <c r="E45" i="18"/>
  <c r="E44" i="18"/>
  <c r="H42" i="18"/>
  <c r="G42" i="18"/>
  <c r="E42" i="18"/>
  <c r="I42" i="18" s="1"/>
  <c r="I41" i="18"/>
  <c r="H41" i="18"/>
  <c r="G41" i="18"/>
  <c r="E41" i="18"/>
  <c r="I40" i="18"/>
  <c r="E40" i="18"/>
  <c r="D37" i="18"/>
  <c r="D30" i="18"/>
  <c r="E30" i="18" s="1"/>
  <c r="B30" i="18"/>
  <c r="B29" i="18"/>
  <c r="D29" i="18" s="1"/>
  <c r="O23" i="18"/>
  <c r="N23" i="18"/>
  <c r="M23" i="18"/>
  <c r="C23" i="18"/>
  <c r="C22" i="18"/>
  <c r="L22" i="18" s="1"/>
  <c r="G20" i="18"/>
  <c r="B20" i="18"/>
  <c r="D20" i="18" s="1"/>
  <c r="E20" i="18" s="1"/>
  <c r="D19" i="18"/>
  <c r="B19" i="18"/>
  <c r="B16" i="18"/>
  <c r="D16" i="18" s="1"/>
  <c r="E16" i="18" s="1"/>
  <c r="G16" i="18" s="1"/>
  <c r="D15" i="18"/>
  <c r="E15" i="18" s="1"/>
  <c r="B15" i="18"/>
  <c r="B14" i="18"/>
  <c r="D14" i="18" s="1"/>
  <c r="E14" i="18" s="1"/>
  <c r="B13" i="18"/>
  <c r="D13" i="18" s="1"/>
  <c r="E13" i="18" s="1"/>
  <c r="D12" i="18"/>
  <c r="B12" i="18"/>
  <c r="E4" i="18"/>
  <c r="N76" i="17"/>
  <c r="L76" i="17"/>
  <c r="M76" i="17" s="1"/>
  <c r="E69" i="17"/>
  <c r="D69" i="17"/>
  <c r="H68" i="17"/>
  <c r="H69" i="17" s="1"/>
  <c r="F68" i="17"/>
  <c r="E68" i="17"/>
  <c r="I68" i="17" s="1"/>
  <c r="I69" i="17" s="1"/>
  <c r="H67" i="17"/>
  <c r="F67" i="17"/>
  <c r="E67" i="17"/>
  <c r="I67" i="17" s="1"/>
  <c r="D65" i="17"/>
  <c r="D38" i="17" s="1"/>
  <c r="D87" i="17" s="1"/>
  <c r="E64" i="17"/>
  <c r="I64" i="17" s="1"/>
  <c r="I60" i="17"/>
  <c r="E60" i="17"/>
  <c r="E59" i="17"/>
  <c r="I59" i="17" s="1"/>
  <c r="I58" i="17"/>
  <c r="E58" i="17"/>
  <c r="E57" i="17"/>
  <c r="I57" i="17" s="1"/>
  <c r="I56" i="17"/>
  <c r="E56" i="17"/>
  <c r="I54" i="17"/>
  <c r="G54" i="17"/>
  <c r="E54" i="17"/>
  <c r="D54" i="17"/>
  <c r="H53" i="17"/>
  <c r="G53" i="17"/>
  <c r="F53" i="17"/>
  <c r="J53" i="17" s="1"/>
  <c r="E53" i="17"/>
  <c r="I53" i="17" s="1"/>
  <c r="H52" i="17"/>
  <c r="G52" i="17"/>
  <c r="F52" i="17"/>
  <c r="J52" i="17" s="1"/>
  <c r="E52" i="17"/>
  <c r="I52" i="17" s="1"/>
  <c r="H51" i="17"/>
  <c r="G51" i="17"/>
  <c r="F51" i="17"/>
  <c r="J51" i="17" s="1"/>
  <c r="E51" i="17"/>
  <c r="I51" i="17" s="1"/>
  <c r="H49" i="17"/>
  <c r="G49" i="17"/>
  <c r="F49" i="17"/>
  <c r="J49" i="17" s="1"/>
  <c r="E49" i="17"/>
  <c r="I49" i="17" s="1"/>
  <c r="H48" i="17"/>
  <c r="G48" i="17"/>
  <c r="F48" i="17"/>
  <c r="J48" i="17" s="1"/>
  <c r="E48" i="17"/>
  <c r="I48" i="17" s="1"/>
  <c r="H47" i="17"/>
  <c r="G47" i="17"/>
  <c r="F47" i="17"/>
  <c r="J47" i="17" s="1"/>
  <c r="E47" i="17"/>
  <c r="I47" i="17" s="1"/>
  <c r="H46" i="17"/>
  <c r="G46" i="17"/>
  <c r="F46" i="17"/>
  <c r="J46" i="17" s="1"/>
  <c r="E46" i="17"/>
  <c r="I46" i="17" s="1"/>
  <c r="H45" i="17"/>
  <c r="G45" i="17"/>
  <c r="F45" i="17"/>
  <c r="J45" i="17" s="1"/>
  <c r="E45" i="17"/>
  <c r="I45" i="17" s="1"/>
  <c r="H43" i="17"/>
  <c r="G43" i="17"/>
  <c r="F43" i="17"/>
  <c r="J43" i="17" s="1"/>
  <c r="E43" i="17"/>
  <c r="I43" i="17" s="1"/>
  <c r="H42" i="17"/>
  <c r="G42" i="17"/>
  <c r="F42" i="17"/>
  <c r="J42" i="17" s="1"/>
  <c r="E42" i="17"/>
  <c r="I42" i="17" s="1"/>
  <c r="H41" i="17"/>
  <c r="H54" i="17" s="1"/>
  <c r="G41" i="17"/>
  <c r="F41" i="17"/>
  <c r="E41" i="17"/>
  <c r="I41" i="17" s="1"/>
  <c r="B31" i="17"/>
  <c r="D31" i="17" s="1"/>
  <c r="E31" i="17" s="1"/>
  <c r="B30" i="17"/>
  <c r="D30" i="17" s="1"/>
  <c r="N23" i="17"/>
  <c r="O23" i="17" s="1"/>
  <c r="M23" i="17"/>
  <c r="L23" i="17"/>
  <c r="C23" i="17"/>
  <c r="M22" i="17"/>
  <c r="L22" i="17"/>
  <c r="C22" i="17"/>
  <c r="E20" i="17"/>
  <c r="B20" i="17"/>
  <c r="C20" i="17" s="1"/>
  <c r="H17" i="17"/>
  <c r="D17" i="17"/>
  <c r="E17" i="17" s="1"/>
  <c r="B17" i="17"/>
  <c r="D16" i="17"/>
  <c r="E16" i="17" s="1"/>
  <c r="B16" i="17"/>
  <c r="D15" i="17"/>
  <c r="E15" i="17" s="1"/>
  <c r="B15" i="17"/>
  <c r="E14" i="17"/>
  <c r="B14" i="17"/>
  <c r="D14" i="17" s="1"/>
  <c r="D13" i="17"/>
  <c r="B13" i="17"/>
  <c r="E4" i="17"/>
  <c r="L75" i="16"/>
  <c r="N72" i="16"/>
  <c r="O72" i="16" s="1"/>
  <c r="L72" i="16"/>
  <c r="M72" i="16" s="1"/>
  <c r="J72" i="16"/>
  <c r="K72" i="16" s="1"/>
  <c r="L70" i="16"/>
  <c r="J70" i="16"/>
  <c r="K70" i="16" s="1"/>
  <c r="I68" i="16"/>
  <c r="F68" i="16"/>
  <c r="E68" i="16"/>
  <c r="D68" i="16"/>
  <c r="H67" i="16"/>
  <c r="H68" i="16" s="1"/>
  <c r="G67" i="16"/>
  <c r="G68" i="16" s="1"/>
  <c r="F67" i="16"/>
  <c r="E67" i="16"/>
  <c r="I67" i="16" s="1"/>
  <c r="H66" i="16"/>
  <c r="G66" i="16"/>
  <c r="J66" i="16" s="1"/>
  <c r="F66" i="16"/>
  <c r="E66" i="16"/>
  <c r="I66" i="16" s="1"/>
  <c r="D64" i="16"/>
  <c r="I63" i="16"/>
  <c r="G63" i="16"/>
  <c r="E63" i="16"/>
  <c r="H63" i="16" s="1"/>
  <c r="E59" i="16"/>
  <c r="I58" i="16"/>
  <c r="H58" i="16"/>
  <c r="G58" i="16"/>
  <c r="E58" i="16"/>
  <c r="H57" i="16"/>
  <c r="E57" i="16"/>
  <c r="I56" i="16"/>
  <c r="G56" i="16"/>
  <c r="E56" i="16"/>
  <c r="H56" i="16" s="1"/>
  <c r="H55" i="16"/>
  <c r="E55" i="16"/>
  <c r="D53" i="16"/>
  <c r="D37" i="16" s="1"/>
  <c r="R35" i="16" s="1"/>
  <c r="I52" i="16"/>
  <c r="F52" i="16"/>
  <c r="E52" i="16"/>
  <c r="G52" i="16" s="1"/>
  <c r="E51" i="16"/>
  <c r="I50" i="16"/>
  <c r="H50" i="16"/>
  <c r="F50" i="16"/>
  <c r="E50" i="16"/>
  <c r="G50" i="16" s="1"/>
  <c r="H48" i="16"/>
  <c r="E48" i="16"/>
  <c r="I47" i="16"/>
  <c r="F47" i="16"/>
  <c r="E47" i="16"/>
  <c r="G47" i="16" s="1"/>
  <c r="H46" i="16"/>
  <c r="E46" i="16"/>
  <c r="I45" i="16"/>
  <c r="H45" i="16"/>
  <c r="F45" i="16"/>
  <c r="E45" i="16"/>
  <c r="G45" i="16" s="1"/>
  <c r="E44" i="16"/>
  <c r="I42" i="16"/>
  <c r="F42" i="16"/>
  <c r="E42" i="16"/>
  <c r="G42" i="16" s="1"/>
  <c r="E41" i="16"/>
  <c r="I40" i="16"/>
  <c r="H40" i="16"/>
  <c r="F40" i="16"/>
  <c r="E40" i="16"/>
  <c r="G40" i="16" s="1"/>
  <c r="F33" i="16"/>
  <c r="D30" i="16"/>
  <c r="E30" i="16" s="1"/>
  <c r="B30" i="16"/>
  <c r="E29" i="16"/>
  <c r="D29" i="16"/>
  <c r="B29" i="16"/>
  <c r="F25" i="16"/>
  <c r="L23" i="16"/>
  <c r="C23" i="16"/>
  <c r="N22" i="16"/>
  <c r="O22" i="16" s="1"/>
  <c r="M22" i="16"/>
  <c r="L22" i="16"/>
  <c r="C22" i="16"/>
  <c r="B20" i="16"/>
  <c r="D20" i="16" s="1"/>
  <c r="E20" i="16" s="1"/>
  <c r="D19" i="16"/>
  <c r="E19" i="16" s="1"/>
  <c r="B16" i="16"/>
  <c r="D16" i="16" s="1"/>
  <c r="E16" i="16" s="1"/>
  <c r="D15" i="16"/>
  <c r="E15" i="16" s="1"/>
  <c r="B15" i="16"/>
  <c r="B14" i="16"/>
  <c r="D14" i="16" s="1"/>
  <c r="E14" i="16" s="1"/>
  <c r="D13" i="16"/>
  <c r="E13" i="16" s="1"/>
  <c r="B12" i="16"/>
  <c r="D12" i="16" s="1"/>
  <c r="D11" i="16"/>
  <c r="L74" i="15"/>
  <c r="M74" i="15" s="1"/>
  <c r="L71" i="15"/>
  <c r="M71" i="15" s="1"/>
  <c r="J71" i="15"/>
  <c r="K71" i="15" s="1"/>
  <c r="J69" i="15"/>
  <c r="K69" i="15" s="1"/>
  <c r="I67" i="15"/>
  <c r="E67" i="15"/>
  <c r="D67" i="15"/>
  <c r="H66" i="15"/>
  <c r="H67" i="15" s="1"/>
  <c r="F66" i="15"/>
  <c r="F67" i="15" s="1"/>
  <c r="E66" i="15"/>
  <c r="I66" i="15" s="1"/>
  <c r="D64" i="15"/>
  <c r="G63" i="15"/>
  <c r="E63" i="15"/>
  <c r="I63" i="15" s="1"/>
  <c r="I59" i="15"/>
  <c r="G59" i="15"/>
  <c r="E59" i="15"/>
  <c r="G58" i="15"/>
  <c r="E58" i="15"/>
  <c r="I58" i="15" s="1"/>
  <c r="I57" i="15"/>
  <c r="G57" i="15"/>
  <c r="E57" i="15"/>
  <c r="G56" i="15"/>
  <c r="E56" i="15"/>
  <c r="I56" i="15" s="1"/>
  <c r="I55" i="15"/>
  <c r="G55" i="15"/>
  <c r="G64" i="15" s="1"/>
  <c r="E55" i="15"/>
  <c r="G53" i="15"/>
  <c r="E53" i="15"/>
  <c r="D53" i="15"/>
  <c r="J52" i="15"/>
  <c r="K52" i="15" s="1"/>
  <c r="H52" i="15"/>
  <c r="G52" i="15"/>
  <c r="F52" i="15"/>
  <c r="E52" i="15"/>
  <c r="I52" i="15" s="1"/>
  <c r="H51" i="15"/>
  <c r="G51" i="15"/>
  <c r="F51" i="15"/>
  <c r="E51" i="15"/>
  <c r="I51" i="15" s="1"/>
  <c r="J51" i="15" s="1"/>
  <c r="H50" i="15"/>
  <c r="G50" i="15"/>
  <c r="F50" i="15"/>
  <c r="E50" i="15"/>
  <c r="I50" i="15" s="1"/>
  <c r="J50" i="15" s="1"/>
  <c r="H48" i="15"/>
  <c r="G48" i="15"/>
  <c r="F48" i="15"/>
  <c r="E48" i="15"/>
  <c r="I48" i="15" s="1"/>
  <c r="J48" i="15" s="1"/>
  <c r="H47" i="15"/>
  <c r="G47" i="15"/>
  <c r="F47" i="15"/>
  <c r="E47" i="15"/>
  <c r="I47" i="15" s="1"/>
  <c r="J47" i="15" s="1"/>
  <c r="H46" i="15"/>
  <c r="G46" i="15"/>
  <c r="F46" i="15"/>
  <c r="E46" i="15"/>
  <c r="I46" i="15" s="1"/>
  <c r="J46" i="15" s="1"/>
  <c r="H45" i="15"/>
  <c r="G45" i="15"/>
  <c r="F45" i="15"/>
  <c r="E45" i="15"/>
  <c r="I45" i="15" s="1"/>
  <c r="J45" i="15" s="1"/>
  <c r="H44" i="15"/>
  <c r="G44" i="15"/>
  <c r="F44" i="15"/>
  <c r="E44" i="15"/>
  <c r="I44" i="15" s="1"/>
  <c r="J44" i="15" s="1"/>
  <c r="H42" i="15"/>
  <c r="G42" i="15"/>
  <c r="F42" i="15"/>
  <c r="E42" i="15"/>
  <c r="I42" i="15" s="1"/>
  <c r="J42" i="15" s="1"/>
  <c r="H41" i="15"/>
  <c r="G41" i="15"/>
  <c r="F41" i="15"/>
  <c r="E41" i="15"/>
  <c r="I41" i="15" s="1"/>
  <c r="J41" i="15" s="1"/>
  <c r="H40" i="15"/>
  <c r="H53" i="15" s="1"/>
  <c r="G40" i="15"/>
  <c r="F40" i="15"/>
  <c r="F53" i="15" s="1"/>
  <c r="E40" i="15"/>
  <c r="I40" i="15" s="1"/>
  <c r="J40" i="15" s="1"/>
  <c r="D37" i="15"/>
  <c r="E37" i="15" s="1"/>
  <c r="H37" i="15" s="1"/>
  <c r="B30" i="15"/>
  <c r="D30" i="15" s="1"/>
  <c r="E30" i="15" s="1"/>
  <c r="D29" i="15"/>
  <c r="B29" i="15"/>
  <c r="I20" i="15"/>
  <c r="G20" i="15"/>
  <c r="F20" i="15"/>
  <c r="E20" i="15"/>
  <c r="H20" i="15" s="1"/>
  <c r="B20" i="15"/>
  <c r="B17" i="15"/>
  <c r="D17" i="15" s="1"/>
  <c r="E17" i="15" s="1"/>
  <c r="D16" i="15"/>
  <c r="E16" i="15" s="1"/>
  <c r="B16" i="15"/>
  <c r="B15" i="15"/>
  <c r="D15" i="15" s="1"/>
  <c r="E15" i="15" s="1"/>
  <c r="B14" i="15"/>
  <c r="D14" i="15" s="1"/>
  <c r="E14" i="15" s="1"/>
  <c r="B13" i="15"/>
  <c r="D13" i="15" s="1"/>
  <c r="D100" i="14"/>
  <c r="M56" i="14"/>
  <c r="N56" i="14" s="1"/>
  <c r="O56" i="14" s="1"/>
  <c r="O57" i="14" s="1"/>
  <c r="L56" i="14"/>
  <c r="J53" i="14"/>
  <c r="J51" i="14"/>
  <c r="I50" i="14"/>
  <c r="H50" i="14"/>
  <c r="E50" i="14"/>
  <c r="E49" i="14"/>
  <c r="I48" i="14"/>
  <c r="H48" i="14"/>
  <c r="E48" i="14"/>
  <c r="E47" i="14"/>
  <c r="E46" i="14"/>
  <c r="I44" i="14"/>
  <c r="H44" i="14"/>
  <c r="F44" i="14"/>
  <c r="E44" i="14"/>
  <c r="G44" i="14" s="1"/>
  <c r="I43" i="14"/>
  <c r="H43" i="14"/>
  <c r="E43" i="14"/>
  <c r="G43" i="14" s="1"/>
  <c r="E42" i="14"/>
  <c r="F39" i="14"/>
  <c r="E39" i="14"/>
  <c r="B32" i="14"/>
  <c r="D32" i="14" s="1"/>
  <c r="E32" i="14" s="1"/>
  <c r="D31" i="14"/>
  <c r="E31" i="14" s="1"/>
  <c r="B31" i="14"/>
  <c r="C19" i="14"/>
  <c r="B19" i="14"/>
  <c r="I16" i="14"/>
  <c r="B16" i="14"/>
  <c r="D16" i="14" s="1"/>
  <c r="E16" i="14" s="1"/>
  <c r="B15" i="14"/>
  <c r="D15" i="14" s="1"/>
  <c r="E15" i="14" s="1"/>
  <c r="B14" i="14"/>
  <c r="D14" i="14" s="1"/>
  <c r="E14" i="14" s="1"/>
  <c r="B13" i="14"/>
  <c r="D13" i="14" s="1"/>
  <c r="E13" i="14" s="1"/>
  <c r="G12" i="14"/>
  <c r="E12" i="14"/>
  <c r="B12" i="14"/>
  <c r="D12" i="14" s="1"/>
  <c r="D11" i="14"/>
  <c r="P53" i="9"/>
  <c r="P18" i="9"/>
  <c r="P21" i="9" s="1"/>
  <c r="F13" i="18" l="1"/>
  <c r="I13" i="18"/>
  <c r="H13" i="18"/>
  <c r="I14" i="18"/>
  <c r="G14" i="18"/>
  <c r="H14" i="18"/>
  <c r="C19" i="18"/>
  <c r="E19" i="18"/>
  <c r="G64" i="18"/>
  <c r="D11" i="18"/>
  <c r="E12" i="18"/>
  <c r="D17" i="18"/>
  <c r="F14" i="18"/>
  <c r="G15" i="18"/>
  <c r="J15" i="18" s="1"/>
  <c r="F15" i="18"/>
  <c r="I15" i="18"/>
  <c r="J14" i="18"/>
  <c r="H15" i="18"/>
  <c r="D31" i="18"/>
  <c r="E29" i="18"/>
  <c r="I30" i="18"/>
  <c r="H30" i="18"/>
  <c r="G30" i="18"/>
  <c r="F30" i="18"/>
  <c r="J30" i="18" s="1"/>
  <c r="F20" i="18"/>
  <c r="I20" i="18"/>
  <c r="H20" i="18"/>
  <c r="J20" i="18" s="1"/>
  <c r="F48" i="18"/>
  <c r="J48" i="18" s="1"/>
  <c r="I48" i="18"/>
  <c r="H48" i="18"/>
  <c r="G48" i="18"/>
  <c r="F16" i="18"/>
  <c r="J16" i="18" s="1"/>
  <c r="I16" i="18"/>
  <c r="H16" i="18"/>
  <c r="M22" i="18"/>
  <c r="N22" i="18"/>
  <c r="O22" i="18" s="1"/>
  <c r="F44" i="18"/>
  <c r="I44" i="18"/>
  <c r="H44" i="18"/>
  <c r="G44" i="18"/>
  <c r="J44" i="18" s="1"/>
  <c r="G13" i="18"/>
  <c r="J13" i="18" s="1"/>
  <c r="E37" i="18"/>
  <c r="Q36" i="18"/>
  <c r="F40" i="18"/>
  <c r="J40" i="18" s="1"/>
  <c r="J45" i="18"/>
  <c r="F45" i="18"/>
  <c r="G50" i="18"/>
  <c r="F50" i="18"/>
  <c r="J50" i="18" s="1"/>
  <c r="G52" i="18"/>
  <c r="E53" i="18"/>
  <c r="F52" i="18"/>
  <c r="H64" i="18"/>
  <c r="J71" i="18"/>
  <c r="L75" i="18"/>
  <c r="G40" i="18"/>
  <c r="J41" i="18"/>
  <c r="F41" i="18"/>
  <c r="G45" i="18"/>
  <c r="J46" i="18"/>
  <c r="F46" i="18"/>
  <c r="H50" i="18"/>
  <c r="H52" i="18"/>
  <c r="I64" i="18"/>
  <c r="L74" i="18"/>
  <c r="H40" i="18"/>
  <c r="F42" i="18"/>
  <c r="J42" i="18" s="1"/>
  <c r="H45" i="18"/>
  <c r="F47" i="18"/>
  <c r="J47" i="18" s="1"/>
  <c r="I50" i="18"/>
  <c r="G51" i="18"/>
  <c r="F51" i="18"/>
  <c r="J51" i="18" s="1"/>
  <c r="I52" i="18"/>
  <c r="I53" i="18" s="1"/>
  <c r="J55" i="18"/>
  <c r="J56" i="18"/>
  <c r="J57" i="18"/>
  <c r="J58" i="18"/>
  <c r="J59" i="18"/>
  <c r="J63" i="18"/>
  <c r="G68" i="18"/>
  <c r="J69" i="18"/>
  <c r="H66" i="18"/>
  <c r="J66" i="18" s="1"/>
  <c r="H67" i="18"/>
  <c r="F14" i="17"/>
  <c r="J14" i="17" s="1"/>
  <c r="H14" i="17"/>
  <c r="G14" i="17"/>
  <c r="I15" i="17"/>
  <c r="G15" i="17"/>
  <c r="F15" i="17"/>
  <c r="J15" i="17" s="1"/>
  <c r="F54" i="17"/>
  <c r="J41" i="17"/>
  <c r="I14" i="17"/>
  <c r="H15" i="17"/>
  <c r="G16" i="17"/>
  <c r="I16" i="17"/>
  <c r="H16" i="17"/>
  <c r="H20" i="17"/>
  <c r="J20" i="17" s="1"/>
  <c r="F20" i="17"/>
  <c r="I20" i="17"/>
  <c r="G20" i="17"/>
  <c r="D32" i="17"/>
  <c r="E30" i="17"/>
  <c r="K42" i="17"/>
  <c r="L42" i="17" s="1"/>
  <c r="K43" i="17"/>
  <c r="L43" i="17" s="1"/>
  <c r="K45" i="17"/>
  <c r="L45" i="17" s="1"/>
  <c r="K46" i="17"/>
  <c r="L46" i="17" s="1"/>
  <c r="K47" i="17"/>
  <c r="L47" i="17" s="1"/>
  <c r="K48" i="17"/>
  <c r="L48" i="17" s="1"/>
  <c r="K49" i="17"/>
  <c r="L49" i="17" s="1"/>
  <c r="K51" i="17"/>
  <c r="L51" i="17" s="1"/>
  <c r="K52" i="17"/>
  <c r="L52" i="17" s="1"/>
  <c r="K53" i="17"/>
  <c r="L53" i="17" s="1"/>
  <c r="J71" i="17"/>
  <c r="L74" i="17"/>
  <c r="L75" i="17"/>
  <c r="J70" i="17"/>
  <c r="F16" i="17"/>
  <c r="J16" i="17" s="1"/>
  <c r="I17" i="17"/>
  <c r="G17" i="17"/>
  <c r="F17" i="17"/>
  <c r="J17" i="17" s="1"/>
  <c r="D18" i="17"/>
  <c r="F31" i="17"/>
  <c r="H31" i="17"/>
  <c r="I31" i="17"/>
  <c r="G31" i="17"/>
  <c r="J31" i="17" s="1"/>
  <c r="I65" i="17"/>
  <c r="E65" i="17"/>
  <c r="F56" i="17"/>
  <c r="F65" i="17" s="1"/>
  <c r="H56" i="17"/>
  <c r="F58" i="17"/>
  <c r="H58" i="17"/>
  <c r="F60" i="17"/>
  <c r="J60" i="17" s="1"/>
  <c r="H60" i="17"/>
  <c r="O76" i="17"/>
  <c r="E13" i="17"/>
  <c r="N22" i="17"/>
  <c r="O22" i="17" s="1"/>
  <c r="G56" i="17"/>
  <c r="G58" i="17"/>
  <c r="J58" i="17" s="1"/>
  <c r="G60" i="17"/>
  <c r="F57" i="17"/>
  <c r="H57" i="17"/>
  <c r="J57" i="17" s="1"/>
  <c r="F59" i="17"/>
  <c r="J59" i="17" s="1"/>
  <c r="H59" i="17"/>
  <c r="J64" i="17"/>
  <c r="F64" i="17"/>
  <c r="H64" i="17"/>
  <c r="D12" i="17"/>
  <c r="E38" i="17"/>
  <c r="G57" i="17"/>
  <c r="G59" i="17"/>
  <c r="G64" i="17"/>
  <c r="F69" i="17"/>
  <c r="G67" i="17"/>
  <c r="J67" i="17" s="1"/>
  <c r="G68" i="17"/>
  <c r="G69" i="17" s="1"/>
  <c r="G15" i="16"/>
  <c r="I15" i="16"/>
  <c r="H15" i="16"/>
  <c r="J15" i="16" s="1"/>
  <c r="F15" i="16"/>
  <c r="K66" i="16"/>
  <c r="L66" i="16"/>
  <c r="I14" i="16"/>
  <c r="H14" i="16"/>
  <c r="G14" i="16"/>
  <c r="I16" i="16"/>
  <c r="G16" i="16"/>
  <c r="F16" i="16"/>
  <c r="H16" i="16"/>
  <c r="J16" i="16" s="1"/>
  <c r="G13" i="16"/>
  <c r="H13" i="16"/>
  <c r="F13" i="16"/>
  <c r="J13" i="16"/>
  <c r="F14" i="16"/>
  <c r="J14" i="16" s="1"/>
  <c r="G19" i="16"/>
  <c r="H19" i="16"/>
  <c r="F19" i="16"/>
  <c r="J19" i="16" s="1"/>
  <c r="I19" i="16"/>
  <c r="I13" i="16"/>
  <c r="I20" i="16"/>
  <c r="H20" i="16"/>
  <c r="G20" i="16"/>
  <c r="F20" i="16"/>
  <c r="I30" i="16"/>
  <c r="F30" i="16"/>
  <c r="J30" i="16" s="1"/>
  <c r="H30" i="16"/>
  <c r="G44" i="16"/>
  <c r="I44" i="16"/>
  <c r="F44" i="16"/>
  <c r="G51" i="16"/>
  <c r="F51" i="16"/>
  <c r="J51" i="16" s="1"/>
  <c r="I51" i="16"/>
  <c r="F59" i="16"/>
  <c r="J59" i="16" s="1"/>
  <c r="G59" i="16"/>
  <c r="I59" i="16"/>
  <c r="M70" i="16"/>
  <c r="N70" i="16"/>
  <c r="O70" i="16" s="1"/>
  <c r="M23" i="16"/>
  <c r="N23" i="16" s="1"/>
  <c r="O23" i="16" s="1"/>
  <c r="G30" i="16"/>
  <c r="H44" i="16"/>
  <c r="G48" i="16"/>
  <c r="J48" i="16" s="1"/>
  <c r="I48" i="16"/>
  <c r="F48" i="16"/>
  <c r="H51" i="16"/>
  <c r="J57" i="16"/>
  <c r="F57" i="16"/>
  <c r="I57" i="16"/>
  <c r="G57" i="16"/>
  <c r="H59" i="16"/>
  <c r="H64" i="16" s="1"/>
  <c r="M75" i="16"/>
  <c r="N75" i="16" s="1"/>
  <c r="O75" i="16" s="1"/>
  <c r="O76" i="16" s="1"/>
  <c r="D17" i="16"/>
  <c r="G29" i="16"/>
  <c r="I29" i="16"/>
  <c r="F29" i="16"/>
  <c r="G41" i="16"/>
  <c r="F41" i="16"/>
  <c r="I41" i="16"/>
  <c r="I53" i="16" s="1"/>
  <c r="J44" i="16"/>
  <c r="D89" i="16"/>
  <c r="J67" i="16"/>
  <c r="E12" i="16"/>
  <c r="H29" i="16"/>
  <c r="E37" i="16"/>
  <c r="H41" i="16"/>
  <c r="G46" i="16"/>
  <c r="F46" i="16"/>
  <c r="I46" i="16"/>
  <c r="E64" i="16"/>
  <c r="F55" i="16"/>
  <c r="G55" i="16"/>
  <c r="G64" i="16" s="1"/>
  <c r="I55" i="16"/>
  <c r="I64" i="16" s="1"/>
  <c r="J40" i="16"/>
  <c r="H42" i="16"/>
  <c r="J45" i="16"/>
  <c r="H47" i="16"/>
  <c r="H53" i="16" s="1"/>
  <c r="J50" i="16"/>
  <c r="H52" i="16"/>
  <c r="J52" i="16" s="1"/>
  <c r="E53" i="16"/>
  <c r="J58" i="16"/>
  <c r="F58" i="16"/>
  <c r="D31" i="16"/>
  <c r="J42" i="16"/>
  <c r="J47" i="16"/>
  <c r="F56" i="16"/>
  <c r="J56" i="16" s="1"/>
  <c r="J63" i="16"/>
  <c r="F63" i="16"/>
  <c r="J53" i="15"/>
  <c r="K40" i="15"/>
  <c r="K41" i="15"/>
  <c r="L41" i="15"/>
  <c r="K42" i="15"/>
  <c r="L42" i="15" s="1"/>
  <c r="K44" i="15"/>
  <c r="L44" i="15"/>
  <c r="K45" i="15"/>
  <c r="L45" i="15" s="1"/>
  <c r="K46" i="15"/>
  <c r="L46" i="15"/>
  <c r="K47" i="15"/>
  <c r="L47" i="15" s="1"/>
  <c r="K48" i="15"/>
  <c r="L48" i="15"/>
  <c r="K50" i="15"/>
  <c r="L50" i="15" s="1"/>
  <c r="K51" i="15"/>
  <c r="L51" i="15"/>
  <c r="D12" i="15"/>
  <c r="D18" i="15"/>
  <c r="E13" i="15"/>
  <c r="G16" i="15"/>
  <c r="J16" i="15"/>
  <c r="H16" i="15"/>
  <c r="F16" i="15"/>
  <c r="I16" i="15"/>
  <c r="H14" i="15"/>
  <c r="G14" i="15"/>
  <c r="F14" i="15"/>
  <c r="J14" i="15" s="1"/>
  <c r="I14" i="15"/>
  <c r="F17" i="15"/>
  <c r="J17" i="15" s="1"/>
  <c r="H17" i="15"/>
  <c r="I17" i="15"/>
  <c r="G17" i="15"/>
  <c r="I30" i="15"/>
  <c r="G30" i="15"/>
  <c r="J30" i="15" s="1"/>
  <c r="F30" i="15"/>
  <c r="H30" i="15"/>
  <c r="I15" i="15"/>
  <c r="J15" i="15"/>
  <c r="G15" i="15"/>
  <c r="F15" i="15"/>
  <c r="H15" i="15"/>
  <c r="D31" i="15"/>
  <c r="F37" i="15"/>
  <c r="J20" i="15"/>
  <c r="E29" i="15"/>
  <c r="I53" i="15"/>
  <c r="E64" i="15"/>
  <c r="F55" i="15"/>
  <c r="H55" i="15"/>
  <c r="F57" i="15"/>
  <c r="J57" i="15" s="1"/>
  <c r="H57" i="15"/>
  <c r="J59" i="15"/>
  <c r="F59" i="15"/>
  <c r="H59" i="15"/>
  <c r="N74" i="15"/>
  <c r="O74" i="15" s="1"/>
  <c r="O75" i="15" s="1"/>
  <c r="G37" i="15"/>
  <c r="I37" i="15"/>
  <c r="L52" i="15"/>
  <c r="I64" i="15"/>
  <c r="J56" i="15"/>
  <c r="F56" i="15"/>
  <c r="H56" i="15"/>
  <c r="F58" i="15"/>
  <c r="J58" i="15" s="1"/>
  <c r="H58" i="15"/>
  <c r="F63" i="15"/>
  <c r="J63" i="15" s="1"/>
  <c r="H63" i="15"/>
  <c r="D90" i="15"/>
  <c r="L69" i="15"/>
  <c r="N71" i="15"/>
  <c r="O71" i="15" s="1"/>
  <c r="G66" i="15"/>
  <c r="F15" i="14"/>
  <c r="J15" i="14" s="1"/>
  <c r="I15" i="14"/>
  <c r="H15" i="14"/>
  <c r="G15" i="14"/>
  <c r="I32" i="14"/>
  <c r="G32" i="14"/>
  <c r="F32" i="14"/>
  <c r="H32" i="14"/>
  <c r="J32" i="14"/>
  <c r="H14" i="14"/>
  <c r="G14" i="14"/>
  <c r="F14" i="14"/>
  <c r="J14" i="14"/>
  <c r="I14" i="14"/>
  <c r="G31" i="14"/>
  <c r="I31" i="14"/>
  <c r="G42" i="14"/>
  <c r="H42" i="14"/>
  <c r="F42" i="14"/>
  <c r="J42" i="14" s="1"/>
  <c r="G46" i="14"/>
  <c r="J46" i="14" s="1"/>
  <c r="I46" i="14"/>
  <c r="H46" i="14"/>
  <c r="G49" i="14"/>
  <c r="F49" i="14"/>
  <c r="J49" i="14" s="1"/>
  <c r="I49" i="14"/>
  <c r="H49" i="14"/>
  <c r="D17" i="14"/>
  <c r="F13" i="14"/>
  <c r="J13" i="14" s="1"/>
  <c r="I13" i="14"/>
  <c r="F31" i="14"/>
  <c r="J31" i="14" s="1"/>
  <c r="I42" i="14"/>
  <c r="F46" i="14"/>
  <c r="G47" i="14"/>
  <c r="J47" i="14"/>
  <c r="F47" i="14"/>
  <c r="I47" i="14"/>
  <c r="H47" i="14"/>
  <c r="K53" i="14"/>
  <c r="L53" i="14" s="1"/>
  <c r="E11" i="14"/>
  <c r="H12" i="14"/>
  <c r="I12" i="14"/>
  <c r="G13" i="14"/>
  <c r="G17" i="14" s="1"/>
  <c r="H16" i="14"/>
  <c r="F16" i="14"/>
  <c r="J16" i="14"/>
  <c r="H31" i="14"/>
  <c r="F12" i="14"/>
  <c r="H13" i="14"/>
  <c r="G16" i="14"/>
  <c r="E17" i="14"/>
  <c r="D19" i="14"/>
  <c r="E19" i="14" s="1"/>
  <c r="G39" i="14"/>
  <c r="J39" i="14" s="1"/>
  <c r="I39" i="14"/>
  <c r="H39" i="14"/>
  <c r="K51" i="14"/>
  <c r="L51" i="14" s="1"/>
  <c r="D33" i="14"/>
  <c r="F43" i="14"/>
  <c r="J43" i="14" s="1"/>
  <c r="J44" i="14"/>
  <c r="G48" i="14"/>
  <c r="F48" i="14"/>
  <c r="J48" i="14" s="1"/>
  <c r="G50" i="14"/>
  <c r="F50" i="14"/>
  <c r="J50" i="14" s="1"/>
  <c r="L66" i="18" l="1"/>
  <c r="K66" i="18"/>
  <c r="K13" i="18"/>
  <c r="L13" i="18" s="1"/>
  <c r="K47" i="18"/>
  <c r="L47" i="18" s="1"/>
  <c r="K50" i="18"/>
  <c r="L50" i="18"/>
  <c r="L40" i="18"/>
  <c r="K40" i="18"/>
  <c r="K44" i="18"/>
  <c r="L44" i="18" s="1"/>
  <c r="L16" i="18"/>
  <c r="K16" i="18"/>
  <c r="K48" i="18"/>
  <c r="L48" i="18" s="1"/>
  <c r="L30" i="18"/>
  <c r="K30" i="18"/>
  <c r="K51" i="18"/>
  <c r="L51" i="18"/>
  <c r="K20" i="18"/>
  <c r="L20" i="18"/>
  <c r="K42" i="18"/>
  <c r="L42" i="18"/>
  <c r="K15" i="18"/>
  <c r="L15" i="18"/>
  <c r="K69" i="18"/>
  <c r="L69" i="18" s="1"/>
  <c r="K58" i="18"/>
  <c r="L58" i="18" s="1"/>
  <c r="F53" i="18"/>
  <c r="L45" i="18"/>
  <c r="K45" i="18"/>
  <c r="K14" i="18"/>
  <c r="L14" i="18" s="1"/>
  <c r="H53" i="18"/>
  <c r="M75" i="18"/>
  <c r="N75" i="18"/>
  <c r="O75" i="18" s="1"/>
  <c r="I37" i="18"/>
  <c r="H37" i="18"/>
  <c r="J37" i="18" s="1"/>
  <c r="G37" i="18"/>
  <c r="F37" i="18"/>
  <c r="F29" i="18"/>
  <c r="J29" i="18" s="1"/>
  <c r="I29" i="18"/>
  <c r="H29" i="18"/>
  <c r="G29" i="18"/>
  <c r="H68" i="18"/>
  <c r="J67" i="18"/>
  <c r="L63" i="18"/>
  <c r="J64" i="18"/>
  <c r="K63" i="18"/>
  <c r="K56" i="18"/>
  <c r="L56" i="18" s="1"/>
  <c r="K71" i="18"/>
  <c r="L71" i="18"/>
  <c r="L46" i="18"/>
  <c r="K46" i="18"/>
  <c r="K57" i="18"/>
  <c r="L57" i="18" s="1"/>
  <c r="J52" i="18"/>
  <c r="K59" i="18"/>
  <c r="L59" i="18" s="1"/>
  <c r="L55" i="18"/>
  <c r="K55" i="18"/>
  <c r="M74" i="18"/>
  <c r="N74" i="18" s="1"/>
  <c r="O74" i="18" s="1"/>
  <c r="L41" i="18"/>
  <c r="K41" i="18"/>
  <c r="G53" i="18"/>
  <c r="G12" i="18"/>
  <c r="E17" i="18"/>
  <c r="E21" i="18" s="1"/>
  <c r="F12" i="18"/>
  <c r="I12" i="18"/>
  <c r="H12" i="18"/>
  <c r="E11" i="18"/>
  <c r="G19" i="18"/>
  <c r="F19" i="18"/>
  <c r="J19" i="18" s="1"/>
  <c r="I19" i="18"/>
  <c r="H19" i="18"/>
  <c r="M52" i="17"/>
  <c r="N52" i="17" s="1"/>
  <c r="O52" i="17" s="1"/>
  <c r="M47" i="17"/>
  <c r="N47" i="17"/>
  <c r="O47" i="17" s="1"/>
  <c r="M42" i="17"/>
  <c r="N42" i="17" s="1"/>
  <c r="O42" i="17" s="1"/>
  <c r="K59" i="17"/>
  <c r="L59" i="17" s="1"/>
  <c r="L58" i="17"/>
  <c r="K58" i="17"/>
  <c r="M51" i="17"/>
  <c r="N51" i="17"/>
  <c r="O51" i="17" s="1"/>
  <c r="M46" i="17"/>
  <c r="N46" i="17" s="1"/>
  <c r="O46" i="17" s="1"/>
  <c r="K57" i="17"/>
  <c r="L57" i="17" s="1"/>
  <c r="L31" i="17"/>
  <c r="K31" i="17"/>
  <c r="M49" i="17"/>
  <c r="N49" i="17"/>
  <c r="O49" i="17" s="1"/>
  <c r="M45" i="17"/>
  <c r="N45" i="17" s="1"/>
  <c r="O45" i="17" s="1"/>
  <c r="K20" i="17"/>
  <c r="L20" i="17" s="1"/>
  <c r="K15" i="17"/>
  <c r="L15" i="17" s="1"/>
  <c r="K60" i="17"/>
  <c r="L60" i="17" s="1"/>
  <c r="K17" i="17"/>
  <c r="L17" i="17" s="1"/>
  <c r="M53" i="17"/>
  <c r="N53" i="17"/>
  <c r="O53" i="17" s="1"/>
  <c r="M48" i="17"/>
  <c r="N48" i="17" s="1"/>
  <c r="O48" i="17" s="1"/>
  <c r="M43" i="17"/>
  <c r="N43" i="17"/>
  <c r="O43" i="17" s="1"/>
  <c r="L14" i="17"/>
  <c r="K14" i="17"/>
  <c r="J68" i="17"/>
  <c r="M75" i="17"/>
  <c r="N75" i="17" s="1"/>
  <c r="O75" i="17" s="1"/>
  <c r="K67" i="17"/>
  <c r="L67" i="17"/>
  <c r="G13" i="17"/>
  <c r="I13" i="17"/>
  <c r="E18" i="17"/>
  <c r="E21" i="17" s="1"/>
  <c r="H13" i="17"/>
  <c r="E12" i="17"/>
  <c r="F13" i="17"/>
  <c r="J13" i="17" s="1"/>
  <c r="H65" i="17"/>
  <c r="N74" i="17"/>
  <c r="O74" i="17" s="1"/>
  <c r="M74" i="17"/>
  <c r="F38" i="17"/>
  <c r="J38" i="17" s="1"/>
  <c r="H38" i="17"/>
  <c r="I38" i="17"/>
  <c r="G38" i="17"/>
  <c r="K64" i="17"/>
  <c r="L64" i="17" s="1"/>
  <c r="K16" i="17"/>
  <c r="L16" i="17" s="1"/>
  <c r="K71" i="17"/>
  <c r="L71" i="17" s="1"/>
  <c r="J54" i="17"/>
  <c r="K41" i="17"/>
  <c r="K54" i="17" s="1"/>
  <c r="L41" i="17"/>
  <c r="G65" i="17"/>
  <c r="J56" i="17"/>
  <c r="K70" i="17"/>
  <c r="L70" i="17"/>
  <c r="H30" i="17"/>
  <c r="J30" i="17" s="1"/>
  <c r="F30" i="17"/>
  <c r="G30" i="17"/>
  <c r="I30" i="17"/>
  <c r="K56" i="16"/>
  <c r="L56" i="16"/>
  <c r="K51" i="16"/>
  <c r="L51" i="16"/>
  <c r="K15" i="16"/>
  <c r="L15" i="16"/>
  <c r="L14" i="16"/>
  <c r="K14" i="16"/>
  <c r="K52" i="16"/>
  <c r="L52" i="16"/>
  <c r="K48" i="16"/>
  <c r="L48" i="16" s="1"/>
  <c r="K59" i="16"/>
  <c r="L59" i="16" s="1"/>
  <c r="K30" i="16"/>
  <c r="L30" i="16" s="1"/>
  <c r="K19" i="16"/>
  <c r="L19" i="16"/>
  <c r="L16" i="16"/>
  <c r="K16" i="16"/>
  <c r="K63" i="16"/>
  <c r="L63" i="16"/>
  <c r="K47" i="16"/>
  <c r="L47" i="16" s="1"/>
  <c r="K58" i="16"/>
  <c r="L58" i="16"/>
  <c r="H12" i="16"/>
  <c r="E17" i="16"/>
  <c r="E21" i="16" s="1"/>
  <c r="I12" i="16"/>
  <c r="G12" i="16"/>
  <c r="E11" i="16"/>
  <c r="F12" i="16"/>
  <c r="K44" i="16"/>
  <c r="L44" i="16"/>
  <c r="K57" i="16"/>
  <c r="L57" i="16" s="1"/>
  <c r="K13" i="16"/>
  <c r="L13" i="16" s="1"/>
  <c r="K42" i="16"/>
  <c r="L42" i="16"/>
  <c r="K45" i="16"/>
  <c r="L45" i="16" s="1"/>
  <c r="J68" i="16"/>
  <c r="K67" i="16"/>
  <c r="K68" i="16" s="1"/>
  <c r="L67" i="16"/>
  <c r="M66" i="16"/>
  <c r="N66" i="16"/>
  <c r="O66" i="16" s="1"/>
  <c r="F64" i="16"/>
  <c r="G37" i="16"/>
  <c r="I37" i="16"/>
  <c r="F37" i="16"/>
  <c r="J37" i="16"/>
  <c r="H37" i="16"/>
  <c r="J41" i="16"/>
  <c r="J29" i="16"/>
  <c r="F53" i="16"/>
  <c r="K50" i="16"/>
  <c r="L50" i="16"/>
  <c r="K40" i="16"/>
  <c r="L40" i="16"/>
  <c r="J55" i="16"/>
  <c r="J46" i="16"/>
  <c r="G53" i="16"/>
  <c r="J20" i="16"/>
  <c r="K57" i="15"/>
  <c r="L57" i="15" s="1"/>
  <c r="K30" i="15"/>
  <c r="L30" i="15" s="1"/>
  <c r="M50" i="15"/>
  <c r="N50" i="15"/>
  <c r="O50" i="15" s="1"/>
  <c r="K63" i="15"/>
  <c r="L63" i="15" s="1"/>
  <c r="K17" i="15"/>
  <c r="L17" i="15" s="1"/>
  <c r="M42" i="15"/>
  <c r="N42" i="15"/>
  <c r="O42" i="15" s="1"/>
  <c r="M45" i="15"/>
  <c r="N45" i="15"/>
  <c r="O45" i="15" s="1"/>
  <c r="K58" i="15"/>
  <c r="L58" i="15" s="1"/>
  <c r="K14" i="15"/>
  <c r="L14" i="15" s="1"/>
  <c r="M47" i="15"/>
  <c r="N47" i="15"/>
  <c r="O47" i="15" s="1"/>
  <c r="J66" i="15"/>
  <c r="G67" i="15"/>
  <c r="K56" i="15"/>
  <c r="L56" i="15" s="1"/>
  <c r="K59" i="15"/>
  <c r="L59" i="15" s="1"/>
  <c r="H64" i="15"/>
  <c r="K15" i="15"/>
  <c r="L15" i="15" s="1"/>
  <c r="K16" i="15"/>
  <c r="L16" i="15" s="1"/>
  <c r="K53" i="15"/>
  <c r="F64" i="15"/>
  <c r="G29" i="15"/>
  <c r="J29" i="15" s="1"/>
  <c r="H29" i="15"/>
  <c r="F29" i="15"/>
  <c r="I29" i="15"/>
  <c r="M51" i="15"/>
  <c r="N51" i="15"/>
  <c r="O51" i="15" s="1"/>
  <c r="M48" i="15"/>
  <c r="N48" i="15"/>
  <c r="O48" i="15" s="1"/>
  <c r="M46" i="15"/>
  <c r="N46" i="15"/>
  <c r="O46" i="15" s="1"/>
  <c r="M44" i="15"/>
  <c r="N44" i="15"/>
  <c r="O44" i="15" s="1"/>
  <c r="M41" i="15"/>
  <c r="N41" i="15"/>
  <c r="O41" i="15" s="1"/>
  <c r="M69" i="15"/>
  <c r="N69" i="15"/>
  <c r="O69" i="15" s="1"/>
  <c r="M52" i="15"/>
  <c r="N52" i="15"/>
  <c r="O52" i="15" s="1"/>
  <c r="J55" i="15"/>
  <c r="L20" i="15"/>
  <c r="K20" i="15"/>
  <c r="E18" i="15"/>
  <c r="E21" i="15" s="1"/>
  <c r="F13" i="15"/>
  <c r="I13" i="15"/>
  <c r="H13" i="15"/>
  <c r="E12" i="15"/>
  <c r="G13" i="15"/>
  <c r="J13" i="15"/>
  <c r="J37" i="15"/>
  <c r="L40" i="15"/>
  <c r="M53" i="14"/>
  <c r="N53" i="14" s="1"/>
  <c r="O53" i="14" s="1"/>
  <c r="K31" i="14"/>
  <c r="L31" i="14" s="1"/>
  <c r="K48" i="14"/>
  <c r="L48" i="14" s="1"/>
  <c r="K39" i="14"/>
  <c r="L39" i="14" s="1"/>
  <c r="K13" i="14"/>
  <c r="L13" i="14" s="1"/>
  <c r="K49" i="14"/>
  <c r="L49" i="14" s="1"/>
  <c r="K46" i="14"/>
  <c r="L46" i="14" s="1"/>
  <c r="N51" i="14"/>
  <c r="O51" i="14" s="1"/>
  <c r="M51" i="14"/>
  <c r="K42" i="14"/>
  <c r="L42" i="14" s="1"/>
  <c r="K50" i="14"/>
  <c r="L50" i="14" s="1"/>
  <c r="K43" i="14"/>
  <c r="L43" i="14" s="1"/>
  <c r="K15" i="14"/>
  <c r="L15" i="14" s="1"/>
  <c r="K47" i="14"/>
  <c r="L47" i="14" s="1"/>
  <c r="G11" i="14"/>
  <c r="K14" i="14"/>
  <c r="L14" i="14" s="1"/>
  <c r="K32" i="14"/>
  <c r="L32" i="14" s="1"/>
  <c r="I19" i="14"/>
  <c r="F19" i="14"/>
  <c r="J19" i="14" s="1"/>
  <c r="H19" i="14"/>
  <c r="G19" i="14"/>
  <c r="G21" i="14" s="1"/>
  <c r="F11" i="14"/>
  <c r="J12" i="14"/>
  <c r="F17" i="14"/>
  <c r="K16" i="14"/>
  <c r="L16" i="14" s="1"/>
  <c r="I17" i="14"/>
  <c r="I11" i="14"/>
  <c r="E21" i="14"/>
  <c r="H17" i="14"/>
  <c r="H21" i="14" s="1"/>
  <c r="H11" i="14"/>
  <c r="K44" i="14"/>
  <c r="L44" i="14" s="1"/>
  <c r="P21" i="6"/>
  <c r="P77" i="6"/>
  <c r="K19" i="18" l="1"/>
  <c r="L19" i="18"/>
  <c r="M57" i="18"/>
  <c r="N57" i="18" s="1"/>
  <c r="O57" i="18" s="1"/>
  <c r="M56" i="18"/>
  <c r="N56" i="18" s="1"/>
  <c r="O56" i="18" s="1"/>
  <c r="K37" i="18"/>
  <c r="L37" i="18" s="1"/>
  <c r="M44" i="18"/>
  <c r="N44" i="18" s="1"/>
  <c r="O44" i="18" s="1"/>
  <c r="M59" i="18"/>
  <c r="N59" i="18" s="1"/>
  <c r="O59" i="18" s="1"/>
  <c r="K29" i="18"/>
  <c r="L29" i="18"/>
  <c r="M14" i="18"/>
  <c r="N14" i="18"/>
  <c r="O14" i="18" s="1"/>
  <c r="M58" i="18"/>
  <c r="N58" i="18" s="1"/>
  <c r="O58" i="18" s="1"/>
  <c r="M48" i="18"/>
  <c r="N48" i="18" s="1"/>
  <c r="O48" i="18" s="1"/>
  <c r="M47" i="18"/>
  <c r="N47" i="18" s="1"/>
  <c r="O47" i="18" s="1"/>
  <c r="O78" i="18"/>
  <c r="M69" i="18"/>
  <c r="N69" i="18"/>
  <c r="O69" i="18" s="1"/>
  <c r="M13" i="18"/>
  <c r="N13" i="18" s="1"/>
  <c r="O13" i="18" s="1"/>
  <c r="I17" i="18"/>
  <c r="I21" i="18" s="1"/>
  <c r="I11" i="18"/>
  <c r="G11" i="18"/>
  <c r="G17" i="18"/>
  <c r="G21" i="18" s="1"/>
  <c r="K67" i="18"/>
  <c r="K68" i="18" s="1"/>
  <c r="J68" i="18"/>
  <c r="M51" i="18"/>
  <c r="N51" i="18" s="1"/>
  <c r="O51" i="18" s="1"/>
  <c r="N50" i="18"/>
  <c r="O50" i="18" s="1"/>
  <c r="M50" i="18"/>
  <c r="F17" i="18"/>
  <c r="F21" i="18" s="1"/>
  <c r="F11" i="18"/>
  <c r="N71" i="18"/>
  <c r="O71" i="18" s="1"/>
  <c r="M71" i="18"/>
  <c r="K64" i="18"/>
  <c r="M15" i="18"/>
  <c r="N15" i="18" s="1"/>
  <c r="O15" i="18" s="1"/>
  <c r="M20" i="18"/>
  <c r="J12" i="18"/>
  <c r="J53" i="18"/>
  <c r="K52" i="18"/>
  <c r="K53" i="18" s="1"/>
  <c r="L52" i="18"/>
  <c r="H11" i="18"/>
  <c r="H17" i="18"/>
  <c r="H21" i="18" s="1"/>
  <c r="M41" i="18"/>
  <c r="N41" i="18" s="1"/>
  <c r="O41" i="18" s="1"/>
  <c r="M55" i="18"/>
  <c r="N55" i="18" s="1"/>
  <c r="O55" i="18" s="1"/>
  <c r="M46" i="18"/>
  <c r="N46" i="18" s="1"/>
  <c r="O46" i="18" s="1"/>
  <c r="L64" i="18"/>
  <c r="M63" i="18"/>
  <c r="N45" i="18"/>
  <c r="O45" i="18" s="1"/>
  <c r="M45" i="18"/>
  <c r="M42" i="18"/>
  <c r="N42" i="18" s="1"/>
  <c r="O42" i="18" s="1"/>
  <c r="M30" i="18"/>
  <c r="N30" i="18" s="1"/>
  <c r="O30" i="18" s="1"/>
  <c r="M16" i="18"/>
  <c r="N16" i="18" s="1"/>
  <c r="O16" i="18" s="1"/>
  <c r="N40" i="18"/>
  <c r="O40" i="18" s="1"/>
  <c r="M40" i="18"/>
  <c r="M66" i="18"/>
  <c r="N66" i="18"/>
  <c r="O66" i="18" s="1"/>
  <c r="M64" i="17"/>
  <c r="N64" i="17" s="1"/>
  <c r="O64" i="17" s="1"/>
  <c r="J18" i="17"/>
  <c r="J21" i="17" s="1"/>
  <c r="K13" i="17"/>
  <c r="L13" i="17" s="1"/>
  <c r="J12" i="17"/>
  <c r="M20" i="17"/>
  <c r="N20" i="17" s="1"/>
  <c r="O20" i="17" s="1"/>
  <c r="M59" i="17"/>
  <c r="N59" i="17" s="1"/>
  <c r="O59" i="17" s="1"/>
  <c r="M17" i="17"/>
  <c r="N17" i="17"/>
  <c r="O17" i="17" s="1"/>
  <c r="K30" i="17"/>
  <c r="L30" i="17" s="1"/>
  <c r="M71" i="17"/>
  <c r="N71" i="17" s="1"/>
  <c r="O71" i="17" s="1"/>
  <c r="M60" i="17"/>
  <c r="N60" i="17" s="1"/>
  <c r="O60" i="17" s="1"/>
  <c r="M57" i="17"/>
  <c r="N57" i="17" s="1"/>
  <c r="O57" i="17" s="1"/>
  <c r="M16" i="17"/>
  <c r="N16" i="17"/>
  <c r="O16" i="17" s="1"/>
  <c r="M15" i="17"/>
  <c r="N15" i="17"/>
  <c r="O15" i="17" s="1"/>
  <c r="K38" i="17"/>
  <c r="L38" i="17" s="1"/>
  <c r="O77" i="17"/>
  <c r="G18" i="17"/>
  <c r="G21" i="17" s="1"/>
  <c r="G12" i="17"/>
  <c r="M70" i="17"/>
  <c r="N70" i="17"/>
  <c r="O70" i="17" s="1"/>
  <c r="L54" i="17"/>
  <c r="M41" i="17"/>
  <c r="M54" i="17" s="1"/>
  <c r="N41" i="17"/>
  <c r="H12" i="17"/>
  <c r="H18" i="17"/>
  <c r="H21" i="17" s="1"/>
  <c r="M67" i="17"/>
  <c r="N67" i="17"/>
  <c r="O67" i="17" s="1"/>
  <c r="J69" i="17"/>
  <c r="K68" i="17"/>
  <c r="K69" i="17" s="1"/>
  <c r="L68" i="17"/>
  <c r="L56" i="17"/>
  <c r="J65" i="17"/>
  <c r="K56" i="17"/>
  <c r="K65" i="17" s="1"/>
  <c r="F18" i="17"/>
  <c r="F21" i="17" s="1"/>
  <c r="F12" i="17"/>
  <c r="I18" i="17"/>
  <c r="I21" i="17" s="1"/>
  <c r="I12" i="17"/>
  <c r="M14" i="17"/>
  <c r="N14" i="17" s="1"/>
  <c r="O14" i="17" s="1"/>
  <c r="N31" i="17"/>
  <c r="O31" i="17" s="1"/>
  <c r="M31" i="17"/>
  <c r="M58" i="17"/>
  <c r="N58" i="17" s="1"/>
  <c r="O58" i="17" s="1"/>
  <c r="M30" i="16"/>
  <c r="N30" i="16"/>
  <c r="O30" i="16" s="1"/>
  <c r="M13" i="16"/>
  <c r="N13" i="16"/>
  <c r="O13" i="16" s="1"/>
  <c r="M47" i="16"/>
  <c r="N47" i="16"/>
  <c r="O47" i="16" s="1"/>
  <c r="M45" i="16"/>
  <c r="N45" i="16"/>
  <c r="O45" i="16" s="1"/>
  <c r="M57" i="16"/>
  <c r="N57" i="16" s="1"/>
  <c r="O57" i="16" s="1"/>
  <c r="M48" i="16"/>
  <c r="N48" i="16" s="1"/>
  <c r="O48" i="16" s="1"/>
  <c r="M59" i="16"/>
  <c r="N59" i="16" s="1"/>
  <c r="O59" i="16" s="1"/>
  <c r="K46" i="16"/>
  <c r="L46" i="16"/>
  <c r="J53" i="16"/>
  <c r="K37" i="16"/>
  <c r="L37" i="16" s="1"/>
  <c r="L68" i="16"/>
  <c r="M67" i="16"/>
  <c r="M68" i="16" s="1"/>
  <c r="N67" i="16"/>
  <c r="M44" i="16"/>
  <c r="N44" i="16" s="1"/>
  <c r="O44" i="16" s="1"/>
  <c r="G11" i="16"/>
  <c r="G17" i="16"/>
  <c r="G21" i="16" s="1"/>
  <c r="H17" i="16"/>
  <c r="H21" i="16" s="1"/>
  <c r="H11" i="16"/>
  <c r="M16" i="16"/>
  <c r="N16" i="16"/>
  <c r="O16" i="16" s="1"/>
  <c r="M14" i="16"/>
  <c r="N14" i="16"/>
  <c r="O14" i="16" s="1"/>
  <c r="M51" i="16"/>
  <c r="N51" i="16" s="1"/>
  <c r="O51" i="16" s="1"/>
  <c r="L20" i="16"/>
  <c r="K20" i="16"/>
  <c r="L55" i="16"/>
  <c r="K55" i="16"/>
  <c r="K64" i="16" s="1"/>
  <c r="J64" i="16"/>
  <c r="M50" i="16"/>
  <c r="N50" i="16"/>
  <c r="O50" i="16" s="1"/>
  <c r="K29" i="16"/>
  <c r="L29" i="16"/>
  <c r="M42" i="16"/>
  <c r="N42" i="16"/>
  <c r="O42" i="16" s="1"/>
  <c r="I11" i="16"/>
  <c r="I17" i="16"/>
  <c r="I21" i="16" s="1"/>
  <c r="M58" i="16"/>
  <c r="N58" i="16" s="1"/>
  <c r="O58" i="16" s="1"/>
  <c r="M63" i="16"/>
  <c r="N63" i="16" s="1"/>
  <c r="O63" i="16" s="1"/>
  <c r="M19" i="16"/>
  <c r="N19" i="16"/>
  <c r="O19" i="16" s="1"/>
  <c r="M52" i="16"/>
  <c r="N52" i="16"/>
  <c r="O52" i="16" s="1"/>
  <c r="M40" i="16"/>
  <c r="N40" i="16" s="1"/>
  <c r="K41" i="16"/>
  <c r="L41" i="16" s="1"/>
  <c r="F11" i="16"/>
  <c r="F17" i="16"/>
  <c r="F21" i="16" s="1"/>
  <c r="J12" i="16"/>
  <c r="M15" i="16"/>
  <c r="N15" i="16" s="1"/>
  <c r="O15" i="16" s="1"/>
  <c r="M56" i="16"/>
  <c r="N56" i="16" s="1"/>
  <c r="O56" i="16" s="1"/>
  <c r="M59" i="15"/>
  <c r="N59" i="15" s="1"/>
  <c r="O59" i="15" s="1"/>
  <c r="M17" i="15"/>
  <c r="N17" i="15" s="1"/>
  <c r="O17" i="15" s="1"/>
  <c r="M30" i="15"/>
  <c r="N30" i="15"/>
  <c r="O30" i="15" s="1"/>
  <c r="M16" i="15"/>
  <c r="N16" i="15" s="1"/>
  <c r="O16" i="15" s="1"/>
  <c r="M56" i="15"/>
  <c r="N56" i="15" s="1"/>
  <c r="O56" i="15" s="1"/>
  <c r="M63" i="15"/>
  <c r="N63" i="15" s="1"/>
  <c r="O63" i="15" s="1"/>
  <c r="M57" i="15"/>
  <c r="N57" i="15" s="1"/>
  <c r="O57" i="15" s="1"/>
  <c r="K29" i="15"/>
  <c r="L29" i="15"/>
  <c r="M15" i="15"/>
  <c r="N15" i="15"/>
  <c r="O15" i="15" s="1"/>
  <c r="M14" i="15"/>
  <c r="N14" i="15" s="1"/>
  <c r="O14" i="15" s="1"/>
  <c r="M58" i="15"/>
  <c r="N58" i="15" s="1"/>
  <c r="O58" i="15" s="1"/>
  <c r="J18" i="15"/>
  <c r="J21" i="15" s="1"/>
  <c r="K13" i="15"/>
  <c r="J12" i="15"/>
  <c r="I18" i="15"/>
  <c r="I21" i="15" s="1"/>
  <c r="I12" i="15"/>
  <c r="M20" i="15"/>
  <c r="N20" i="15"/>
  <c r="O20" i="15" s="1"/>
  <c r="G18" i="15"/>
  <c r="G21" i="15" s="1"/>
  <c r="G12" i="15"/>
  <c r="F18" i="15"/>
  <c r="F21" i="15" s="1"/>
  <c r="F12" i="15"/>
  <c r="J64" i="15"/>
  <c r="K55" i="15"/>
  <c r="K64" i="15" s="1"/>
  <c r="J67" i="15"/>
  <c r="K66" i="15"/>
  <c r="K67" i="15" s="1"/>
  <c r="L66" i="15"/>
  <c r="L53" i="15"/>
  <c r="M40" i="15"/>
  <c r="M53" i="15" s="1"/>
  <c r="K37" i="15"/>
  <c r="L37" i="15"/>
  <c r="H18" i="15"/>
  <c r="H21" i="15" s="1"/>
  <c r="H12" i="15"/>
  <c r="M42" i="14"/>
  <c r="N42" i="14"/>
  <c r="O42" i="14" s="1"/>
  <c r="M31" i="14"/>
  <c r="N31" i="14" s="1"/>
  <c r="O31" i="14" s="1"/>
  <c r="M14" i="14"/>
  <c r="N14" i="14"/>
  <c r="O14" i="14" s="1"/>
  <c r="M43" i="14"/>
  <c r="N43" i="14" s="1"/>
  <c r="O43" i="14" s="1"/>
  <c r="M39" i="14"/>
  <c r="N39" i="14" s="1"/>
  <c r="O39" i="14" s="1"/>
  <c r="M44" i="14"/>
  <c r="N44" i="14" s="1"/>
  <c r="O44" i="14" s="1"/>
  <c r="K19" i="14"/>
  <c r="L19" i="14"/>
  <c r="M50" i="14"/>
  <c r="N50" i="14" s="1"/>
  <c r="O50" i="14" s="1"/>
  <c r="M46" i="14"/>
  <c r="N46" i="14" s="1"/>
  <c r="O46" i="14" s="1"/>
  <c r="M48" i="14"/>
  <c r="N48" i="14" s="1"/>
  <c r="O48" i="14" s="1"/>
  <c r="M47" i="14"/>
  <c r="N47" i="14" s="1"/>
  <c r="O47" i="14" s="1"/>
  <c r="M49" i="14"/>
  <c r="N49" i="14" s="1"/>
  <c r="O49" i="14" s="1"/>
  <c r="M16" i="14"/>
  <c r="N16" i="14" s="1"/>
  <c r="O16" i="14" s="1"/>
  <c r="M32" i="14"/>
  <c r="N32" i="14"/>
  <c r="O32" i="14" s="1"/>
  <c r="M15" i="14"/>
  <c r="N15" i="14" s="1"/>
  <c r="O15" i="14" s="1"/>
  <c r="M13" i="14"/>
  <c r="N13" i="14" s="1"/>
  <c r="O13" i="14" s="1"/>
  <c r="F21" i="14"/>
  <c r="I21" i="14"/>
  <c r="L12" i="14"/>
  <c r="J11" i="14"/>
  <c r="K12" i="14"/>
  <c r="J17" i="14"/>
  <c r="J21" i="14" s="1"/>
  <c r="M37" i="18" l="1"/>
  <c r="N37" i="18"/>
  <c r="O37" i="18" s="1"/>
  <c r="J17" i="18"/>
  <c r="J21" i="18" s="1"/>
  <c r="K12" i="18"/>
  <c r="J11" i="18"/>
  <c r="L12" i="18"/>
  <c r="M29" i="18"/>
  <c r="N29" i="18" s="1"/>
  <c r="O29" i="18" s="1"/>
  <c r="O31" i="18" s="1"/>
  <c r="M19" i="18"/>
  <c r="N19" i="18" s="1"/>
  <c r="O19" i="18" s="1"/>
  <c r="M64" i="18"/>
  <c r="L53" i="18"/>
  <c r="M52" i="18"/>
  <c r="M53" i="18" s="1"/>
  <c r="N63" i="18"/>
  <c r="N20" i="18"/>
  <c r="L67" i="18"/>
  <c r="M38" i="17"/>
  <c r="N38" i="17" s="1"/>
  <c r="O38" i="17" s="1"/>
  <c r="M30" i="17"/>
  <c r="N30" i="17" s="1"/>
  <c r="O30" i="17" s="1"/>
  <c r="L12" i="17"/>
  <c r="L18" i="17"/>
  <c r="L21" i="17" s="1"/>
  <c r="M13" i="17"/>
  <c r="N13" i="17"/>
  <c r="L69" i="17"/>
  <c r="M68" i="17"/>
  <c r="M69" i="17" s="1"/>
  <c r="N68" i="17"/>
  <c r="K18" i="17"/>
  <c r="K21" i="17" s="1"/>
  <c r="K12" i="17"/>
  <c r="L65" i="17"/>
  <c r="M56" i="17"/>
  <c r="M65" i="17" s="1"/>
  <c r="N54" i="17"/>
  <c r="O41" i="17"/>
  <c r="O40" i="16"/>
  <c r="M37" i="16"/>
  <c r="N37" i="16" s="1"/>
  <c r="O37" i="16" s="1"/>
  <c r="M41" i="16"/>
  <c r="N41" i="16" s="1"/>
  <c r="L53" i="16"/>
  <c r="L12" i="16"/>
  <c r="J17" i="16"/>
  <c r="J21" i="16" s="1"/>
  <c r="J11" i="16"/>
  <c r="K12" i="16"/>
  <c r="N29" i="16"/>
  <c r="O29" i="16" s="1"/>
  <c r="M29" i="16"/>
  <c r="M20" i="16"/>
  <c r="N20" i="16"/>
  <c r="M46" i="16"/>
  <c r="N46" i="16" s="1"/>
  <c r="O46" i="16" s="1"/>
  <c r="M55" i="16"/>
  <c r="M64" i="16" s="1"/>
  <c r="L64" i="16"/>
  <c r="N68" i="16"/>
  <c r="O67" i="16"/>
  <c r="K53" i="16"/>
  <c r="M37" i="15"/>
  <c r="N37" i="15"/>
  <c r="O37" i="15" s="1"/>
  <c r="K18" i="15"/>
  <c r="K21" i="15" s="1"/>
  <c r="K12" i="15"/>
  <c r="L67" i="15"/>
  <c r="M66" i="15"/>
  <c r="M67" i="15" s="1"/>
  <c r="N66" i="15"/>
  <c r="L13" i="15"/>
  <c r="M29" i="15"/>
  <c r="N29" i="15"/>
  <c r="O29" i="15" s="1"/>
  <c r="N40" i="15"/>
  <c r="L55" i="15"/>
  <c r="O33" i="14"/>
  <c r="P59" i="14"/>
  <c r="K17" i="14"/>
  <c r="K21" i="14" s="1"/>
  <c r="K11" i="14"/>
  <c r="M19" i="14"/>
  <c r="N19" i="14"/>
  <c r="O19" i="14" s="1"/>
  <c r="N12" i="14"/>
  <c r="L11" i="14"/>
  <c r="M12" i="14"/>
  <c r="L17" i="14"/>
  <c r="L21" i="14" s="1"/>
  <c r="O20" i="18" l="1"/>
  <c r="L11" i="18"/>
  <c r="M12" i="18"/>
  <c r="N12" i="18"/>
  <c r="L17" i="18"/>
  <c r="L21" i="18" s="1"/>
  <c r="N64" i="18"/>
  <c r="O64" i="18" s="1"/>
  <c r="O63" i="18"/>
  <c r="L68" i="18"/>
  <c r="M67" i="18"/>
  <c r="M68" i="18" s="1"/>
  <c r="N52" i="18"/>
  <c r="K11" i="18"/>
  <c r="K17" i="18"/>
  <c r="K21" i="18" s="1"/>
  <c r="O32" i="17"/>
  <c r="O54" i="17"/>
  <c r="N56" i="17"/>
  <c r="N69" i="17"/>
  <c r="O68" i="17"/>
  <c r="M12" i="17"/>
  <c r="M18" i="17"/>
  <c r="M21" i="17" s="1"/>
  <c r="N18" i="17"/>
  <c r="N21" i="17" s="1"/>
  <c r="O13" i="17"/>
  <c r="O12" i="17" s="1"/>
  <c r="O18" i="17" s="1"/>
  <c r="O21" i="17" s="1"/>
  <c r="N12" i="17"/>
  <c r="O41" i="16"/>
  <c r="N53" i="16"/>
  <c r="O20" i="16"/>
  <c r="O31" i="16"/>
  <c r="L17" i="16"/>
  <c r="L21" i="16" s="1"/>
  <c r="L11" i="16"/>
  <c r="M12" i="16"/>
  <c r="O68" i="16"/>
  <c r="N55" i="16"/>
  <c r="K11" i="16"/>
  <c r="K17" i="16"/>
  <c r="K21" i="16" s="1"/>
  <c r="O53" i="16"/>
  <c r="M53" i="16"/>
  <c r="N53" i="15"/>
  <c r="O40" i="15"/>
  <c r="N67" i="15"/>
  <c r="O66" i="15"/>
  <c r="L64" i="15"/>
  <c r="M55" i="15"/>
  <c r="M64" i="15" s="1"/>
  <c r="N13" i="15"/>
  <c r="M13" i="15"/>
  <c r="L18" i="15"/>
  <c r="L21" i="15" s="1"/>
  <c r="L12" i="15"/>
  <c r="O31" i="15"/>
  <c r="M17" i="14"/>
  <c r="M21" i="14" s="1"/>
  <c r="M11" i="14"/>
  <c r="N11" i="14"/>
  <c r="N17" i="14"/>
  <c r="N21" i="14" s="1"/>
  <c r="O12" i="14"/>
  <c r="D100" i="11"/>
  <c r="L56" i="11"/>
  <c r="M56" i="11" s="1"/>
  <c r="J53" i="11"/>
  <c r="K53" i="11" s="1"/>
  <c r="J51" i="11"/>
  <c r="E50" i="11"/>
  <c r="I50" i="11" s="1"/>
  <c r="E49" i="11"/>
  <c r="I49" i="11" s="1"/>
  <c r="E48" i="11"/>
  <c r="I48" i="11" s="1"/>
  <c r="E47" i="11"/>
  <c r="I47" i="11" s="1"/>
  <c r="E46" i="11"/>
  <c r="I46" i="11" s="1"/>
  <c r="E44" i="11"/>
  <c r="I44" i="11" s="1"/>
  <c r="E43" i="11"/>
  <c r="E42" i="11"/>
  <c r="I42" i="11" s="1"/>
  <c r="E39" i="11"/>
  <c r="G39" i="11" s="1"/>
  <c r="D32" i="11"/>
  <c r="E32" i="11" s="1"/>
  <c r="B32" i="11"/>
  <c r="B31" i="11"/>
  <c r="D31" i="11" s="1"/>
  <c r="C19" i="11"/>
  <c r="B19" i="11"/>
  <c r="B16" i="11"/>
  <c r="D16" i="11" s="1"/>
  <c r="E16" i="11" s="1"/>
  <c r="B15" i="11"/>
  <c r="D15" i="11" s="1"/>
  <c r="E15" i="11" s="1"/>
  <c r="B14" i="11"/>
  <c r="D14" i="11" s="1"/>
  <c r="E14" i="11" s="1"/>
  <c r="B13" i="11"/>
  <c r="D13" i="11" s="1"/>
  <c r="E13" i="11" s="1"/>
  <c r="B12" i="11"/>
  <c r="D12" i="11" s="1"/>
  <c r="N17" i="18" l="1"/>
  <c r="N21" i="18" s="1"/>
  <c r="O12" i="18"/>
  <c r="N11" i="18"/>
  <c r="N53" i="18"/>
  <c r="O53" i="18" s="1"/>
  <c r="O52" i="18"/>
  <c r="M17" i="18"/>
  <c r="M21" i="18" s="1"/>
  <c r="M11" i="18"/>
  <c r="N67" i="18"/>
  <c r="N65" i="17"/>
  <c r="O56" i="17"/>
  <c r="O69" i="17"/>
  <c r="M11" i="16"/>
  <c r="M17" i="16"/>
  <c r="M21" i="16" s="1"/>
  <c r="N64" i="16"/>
  <c r="O55" i="16"/>
  <c r="N12" i="16"/>
  <c r="N12" i="15"/>
  <c r="N18" i="15"/>
  <c r="N21" i="15" s="1"/>
  <c r="O13" i="15"/>
  <c r="O67" i="15"/>
  <c r="O53" i="15"/>
  <c r="M18" i="15"/>
  <c r="M21" i="15" s="1"/>
  <c r="M12" i="15"/>
  <c r="N55" i="15"/>
  <c r="O17" i="14"/>
  <c r="O21" i="14" s="1"/>
  <c r="O59" i="14" s="1"/>
  <c r="O11" i="14"/>
  <c r="F42" i="11"/>
  <c r="F44" i="11"/>
  <c r="F47" i="11"/>
  <c r="F49" i="11"/>
  <c r="K51" i="11"/>
  <c r="L51" i="11" s="1"/>
  <c r="M51" i="11" s="1"/>
  <c r="N51" i="11" s="1"/>
  <c r="O51" i="11" s="1"/>
  <c r="N56" i="11"/>
  <c r="O56" i="11" s="1"/>
  <c r="O57" i="11" s="1"/>
  <c r="D19" i="11"/>
  <c r="E19" i="11" s="1"/>
  <c r="F19" i="11" s="1"/>
  <c r="H42" i="11"/>
  <c r="H44" i="11"/>
  <c r="H47" i="11"/>
  <c r="H49" i="11"/>
  <c r="L53" i="11"/>
  <c r="M53" i="11" s="1"/>
  <c r="N53" i="11" s="1"/>
  <c r="O53" i="11" s="1"/>
  <c r="E12" i="11"/>
  <c r="D11" i="11"/>
  <c r="D17" i="11"/>
  <c r="I13" i="11"/>
  <c r="G13" i="11"/>
  <c r="H13" i="11"/>
  <c r="F13" i="11"/>
  <c r="G16" i="11"/>
  <c r="H16" i="11"/>
  <c r="F16" i="11"/>
  <c r="I16" i="11"/>
  <c r="G14" i="11"/>
  <c r="H14" i="11"/>
  <c r="F14" i="11"/>
  <c r="I14" i="11"/>
  <c r="H15" i="11"/>
  <c r="I15" i="11"/>
  <c r="G15" i="11"/>
  <c r="F15" i="11"/>
  <c r="H19" i="11"/>
  <c r="D33" i="11"/>
  <c r="E31" i="11"/>
  <c r="H32" i="11"/>
  <c r="I32" i="11"/>
  <c r="G32" i="11"/>
  <c r="F32" i="11"/>
  <c r="I39" i="11"/>
  <c r="G43" i="11"/>
  <c r="I43" i="11"/>
  <c r="F39" i="11"/>
  <c r="H39" i="11"/>
  <c r="J39" i="11" s="1"/>
  <c r="G42" i="11"/>
  <c r="J42" i="11" s="1"/>
  <c r="F43" i="11"/>
  <c r="H43" i="11"/>
  <c r="G44" i="11"/>
  <c r="J44" i="11" s="1"/>
  <c r="F46" i="11"/>
  <c r="J46" i="11" s="1"/>
  <c r="H46" i="11"/>
  <c r="G47" i="11"/>
  <c r="J47" i="11" s="1"/>
  <c r="F48" i="11"/>
  <c r="H48" i="11"/>
  <c r="G49" i="11"/>
  <c r="F50" i="11"/>
  <c r="H50" i="11"/>
  <c r="G46" i="11"/>
  <c r="G48" i="11"/>
  <c r="G50" i="11"/>
  <c r="O67" i="18" l="1"/>
  <c r="N68" i="18"/>
  <c r="O11" i="18"/>
  <c r="O17" i="18"/>
  <c r="O21" i="18" s="1"/>
  <c r="O65" i="17"/>
  <c r="O64" i="16"/>
  <c r="O12" i="16"/>
  <c r="N17" i="16"/>
  <c r="N21" i="16" s="1"/>
  <c r="N11" i="16"/>
  <c r="N64" i="15"/>
  <c r="O55" i="15"/>
  <c r="O12" i="15"/>
  <c r="O18" i="15"/>
  <c r="O21" i="15" s="1"/>
  <c r="J49" i="11"/>
  <c r="K49" i="11" s="1"/>
  <c r="L49" i="11" s="1"/>
  <c r="J50" i="11"/>
  <c r="J32" i="11"/>
  <c r="J15" i="11"/>
  <c r="K15" i="11" s="1"/>
  <c r="L15" i="11" s="1"/>
  <c r="J19" i="11"/>
  <c r="J48" i="11"/>
  <c r="G19" i="11"/>
  <c r="I19" i="11"/>
  <c r="J13" i="11"/>
  <c r="K13" i="11" s="1"/>
  <c r="J43" i="11"/>
  <c r="J14" i="11"/>
  <c r="J16" i="11"/>
  <c r="K16" i="11" s="1"/>
  <c r="L16" i="11" s="1"/>
  <c r="K48" i="11"/>
  <c r="L48" i="11" s="1"/>
  <c r="K47" i="11"/>
  <c r="L47" i="11" s="1"/>
  <c r="K43" i="11"/>
  <c r="L43" i="11"/>
  <c r="K39" i="11"/>
  <c r="L39" i="11" s="1"/>
  <c r="K14" i="11"/>
  <c r="L14" i="11" s="1"/>
  <c r="K42" i="11"/>
  <c r="L42" i="11"/>
  <c r="K50" i="11"/>
  <c r="L50" i="11" s="1"/>
  <c r="K46" i="11"/>
  <c r="L46" i="11" s="1"/>
  <c r="K44" i="11"/>
  <c r="L44" i="11" s="1"/>
  <c r="K32" i="11"/>
  <c r="L32" i="11" s="1"/>
  <c r="G31" i="11"/>
  <c r="H31" i="11"/>
  <c r="F31" i="11"/>
  <c r="I31" i="11"/>
  <c r="I12" i="11"/>
  <c r="H12" i="11"/>
  <c r="F12" i="11"/>
  <c r="E11" i="11"/>
  <c r="E17" i="11"/>
  <c r="E21" i="11" s="1"/>
  <c r="G12" i="11"/>
  <c r="O68" i="18" l="1"/>
  <c r="P80" i="18" s="1"/>
  <c r="P78" i="17"/>
  <c r="O78" i="17"/>
  <c r="O11" i="16"/>
  <c r="O17" i="16" s="1"/>
  <c r="O21" i="16" s="1"/>
  <c r="O78" i="16" s="1"/>
  <c r="O64" i="15"/>
  <c r="P77" i="15" s="1"/>
  <c r="O77" i="15"/>
  <c r="L13" i="11"/>
  <c r="M13" i="11" s="1"/>
  <c r="N13" i="11" s="1"/>
  <c r="O13" i="11" s="1"/>
  <c r="K19" i="11"/>
  <c r="L19" i="11" s="1"/>
  <c r="M19" i="11" s="1"/>
  <c r="N19" i="11" s="1"/>
  <c r="O19" i="11" s="1"/>
  <c r="J31" i="11"/>
  <c r="M46" i="11"/>
  <c r="N46" i="11"/>
  <c r="O46" i="11" s="1"/>
  <c r="M16" i="11"/>
  <c r="N16" i="11"/>
  <c r="O16" i="11" s="1"/>
  <c r="K31" i="11"/>
  <c r="L31" i="11" s="1"/>
  <c r="M50" i="11"/>
  <c r="N50" i="11"/>
  <c r="O50" i="11" s="1"/>
  <c r="M47" i="11"/>
  <c r="N47" i="11" s="1"/>
  <c r="O47" i="11" s="1"/>
  <c r="F17" i="11"/>
  <c r="F21" i="11" s="1"/>
  <c r="F11" i="11"/>
  <c r="M15" i="11"/>
  <c r="N15" i="11"/>
  <c r="O15" i="11" s="1"/>
  <c r="M32" i="11"/>
  <c r="N32" i="11" s="1"/>
  <c r="O32" i="11" s="1"/>
  <c r="M44" i="11"/>
  <c r="N44" i="11"/>
  <c r="O44" i="11" s="1"/>
  <c r="M49" i="11"/>
  <c r="N49" i="11" s="1"/>
  <c r="O49" i="11" s="1"/>
  <c r="M42" i="11"/>
  <c r="N42" i="11"/>
  <c r="O42" i="11" s="1"/>
  <c r="M14" i="11"/>
  <c r="N14" i="11" s="1"/>
  <c r="O14" i="11" s="1"/>
  <c r="M39" i="11"/>
  <c r="N39" i="11" s="1"/>
  <c r="O39" i="11" s="1"/>
  <c r="P39" i="11" s="1"/>
  <c r="M43" i="11"/>
  <c r="N43" i="11" s="1"/>
  <c r="O43" i="11" s="1"/>
  <c r="M48" i="11"/>
  <c r="N48" i="11" s="1"/>
  <c r="O48" i="11" s="1"/>
  <c r="G17" i="11"/>
  <c r="G21" i="11" s="1"/>
  <c r="G11" i="11"/>
  <c r="H11" i="11"/>
  <c r="H17" i="11"/>
  <c r="H21" i="11" s="1"/>
  <c r="I11" i="11"/>
  <c r="I17" i="11"/>
  <c r="I21" i="11" s="1"/>
  <c r="J12" i="11"/>
  <c r="O80" i="18" l="1"/>
  <c r="M31" i="11"/>
  <c r="N31" i="11" s="1"/>
  <c r="O31" i="11" s="1"/>
  <c r="J17" i="11"/>
  <c r="J21" i="11" s="1"/>
  <c r="K12" i="11"/>
  <c r="L12" i="11" s="1"/>
  <c r="J11" i="11"/>
  <c r="O33" i="11" l="1"/>
  <c r="L17" i="11"/>
  <c r="L21" i="11" s="1"/>
  <c r="M12" i="11"/>
  <c r="L11" i="11"/>
  <c r="K17" i="11"/>
  <c r="K21" i="11" s="1"/>
  <c r="K11" i="11"/>
  <c r="M11" i="11" l="1"/>
  <c r="M17" i="11"/>
  <c r="M21" i="11" s="1"/>
  <c r="N12" i="11"/>
  <c r="N11" i="11" l="1"/>
  <c r="N17" i="11"/>
  <c r="N21" i="11" s="1"/>
  <c r="O12" i="11"/>
  <c r="P59" i="11" l="1"/>
  <c r="O11" i="11"/>
  <c r="O17" i="11"/>
  <c r="O21" i="11" s="1"/>
  <c r="O59" i="11" s="1"/>
  <c r="L74" i="9" l="1"/>
  <c r="K71" i="9"/>
  <c r="J71" i="9"/>
  <c r="J69" i="9"/>
  <c r="D67" i="9"/>
  <c r="E66" i="9"/>
  <c r="E67" i="9" s="1"/>
  <c r="D64" i="9"/>
  <c r="E63" i="9"/>
  <c r="I63" i="9" s="1"/>
  <c r="E59" i="9"/>
  <c r="I59" i="9" s="1"/>
  <c r="E58" i="9"/>
  <c r="I58" i="9" s="1"/>
  <c r="E57" i="9"/>
  <c r="I57" i="9" s="1"/>
  <c r="E56" i="9"/>
  <c r="I56" i="9" s="1"/>
  <c r="E55" i="9"/>
  <c r="D53" i="9"/>
  <c r="E52" i="9"/>
  <c r="I52" i="9" s="1"/>
  <c r="E51" i="9"/>
  <c r="I51" i="9" s="1"/>
  <c r="E50" i="9"/>
  <c r="I50" i="9" s="1"/>
  <c r="E48" i="9"/>
  <c r="I48" i="9" s="1"/>
  <c r="E47" i="9"/>
  <c r="I47" i="9" s="1"/>
  <c r="E46" i="9"/>
  <c r="I46" i="9" s="1"/>
  <c r="E45" i="9"/>
  <c r="I45" i="9" s="1"/>
  <c r="E44" i="9"/>
  <c r="I44" i="9" s="1"/>
  <c r="E42" i="9"/>
  <c r="I42" i="9" s="1"/>
  <c r="E41" i="9"/>
  <c r="I41" i="9" s="1"/>
  <c r="E40" i="9"/>
  <c r="D37" i="9"/>
  <c r="E37" i="9" s="1"/>
  <c r="D30" i="9"/>
  <c r="E30" i="9" s="1"/>
  <c r="B30" i="9"/>
  <c r="B29" i="9"/>
  <c r="D29" i="9" s="1"/>
  <c r="E20" i="9"/>
  <c r="G20" i="9" s="1"/>
  <c r="B20" i="9"/>
  <c r="B17" i="9"/>
  <c r="D17" i="9" s="1"/>
  <c r="E17" i="9" s="1"/>
  <c r="B16" i="9"/>
  <c r="D16" i="9" s="1"/>
  <c r="E16" i="9" s="1"/>
  <c r="B15" i="9"/>
  <c r="D15" i="9" s="1"/>
  <c r="E15" i="9" s="1"/>
  <c r="D14" i="9"/>
  <c r="E14" i="9" s="1"/>
  <c r="B14" i="9"/>
  <c r="B13" i="9"/>
  <c r="D13" i="9" s="1"/>
  <c r="F41" i="9" l="1"/>
  <c r="F44" i="9"/>
  <c r="F46" i="9"/>
  <c r="F48" i="9"/>
  <c r="F51" i="9"/>
  <c r="E64" i="9"/>
  <c r="F57" i="9"/>
  <c r="H41" i="9"/>
  <c r="H44" i="9"/>
  <c r="H46" i="9"/>
  <c r="H48" i="9"/>
  <c r="H51" i="9"/>
  <c r="F55" i="9"/>
  <c r="J55" i="9" s="1"/>
  <c r="F63" i="9"/>
  <c r="F58" i="9"/>
  <c r="E53" i="9"/>
  <c r="H55" i="9"/>
  <c r="H57" i="9"/>
  <c r="H58" i="9"/>
  <c r="H63" i="9"/>
  <c r="K69" i="9"/>
  <c r="L69" i="9" s="1"/>
  <c r="M69" i="9" s="1"/>
  <c r="N69" i="9" s="1"/>
  <c r="O69" i="9" s="1"/>
  <c r="M74" i="9"/>
  <c r="N74" i="9" s="1"/>
  <c r="O74" i="9" s="1"/>
  <c r="D90" i="9"/>
  <c r="L71" i="9"/>
  <c r="H15" i="9"/>
  <c r="F15" i="9"/>
  <c r="J15" i="9" s="1"/>
  <c r="I15" i="9"/>
  <c r="G15" i="9"/>
  <c r="I16" i="9"/>
  <c r="G16" i="9"/>
  <c r="H16" i="9"/>
  <c r="F16" i="9"/>
  <c r="D31" i="9"/>
  <c r="E29" i="9"/>
  <c r="H30" i="9"/>
  <c r="I30" i="9"/>
  <c r="G30" i="9"/>
  <c r="F30" i="9"/>
  <c r="M71" i="9"/>
  <c r="N71" i="9" s="1"/>
  <c r="O71" i="9" s="1"/>
  <c r="D18" i="9"/>
  <c r="E13" i="9"/>
  <c r="D12" i="9"/>
  <c r="H14" i="9"/>
  <c r="I14" i="9"/>
  <c r="G14" i="9"/>
  <c r="F14" i="9"/>
  <c r="G17" i="9"/>
  <c r="H17" i="9"/>
  <c r="F17" i="9"/>
  <c r="I17" i="9"/>
  <c r="F37" i="9"/>
  <c r="I37" i="9"/>
  <c r="G37" i="9"/>
  <c r="J37" i="9" s="1"/>
  <c r="H37" i="9"/>
  <c r="I20" i="9"/>
  <c r="I40" i="9"/>
  <c r="I53" i="9" s="1"/>
  <c r="G42" i="9"/>
  <c r="F20" i="9"/>
  <c r="H20" i="9"/>
  <c r="J20" i="9" s="1"/>
  <c r="F40" i="9"/>
  <c r="H40" i="9"/>
  <c r="G41" i="9"/>
  <c r="F42" i="9"/>
  <c r="H42" i="9"/>
  <c r="G44" i="9"/>
  <c r="F45" i="9"/>
  <c r="H45" i="9"/>
  <c r="G46" i="9"/>
  <c r="J46" i="9" s="1"/>
  <c r="F47" i="9"/>
  <c r="H47" i="9"/>
  <c r="G48" i="9"/>
  <c r="J48" i="9" s="1"/>
  <c r="F50" i="9"/>
  <c r="H50" i="9"/>
  <c r="G51" i="9"/>
  <c r="F52" i="9"/>
  <c r="H52" i="9"/>
  <c r="G55" i="9"/>
  <c r="I55" i="9"/>
  <c r="I64" i="9" s="1"/>
  <c r="F56" i="9"/>
  <c r="H56" i="9"/>
  <c r="G57" i="9"/>
  <c r="G58" i="9"/>
  <c r="J58" i="9" s="1"/>
  <c r="F59" i="9"/>
  <c r="H59" i="9"/>
  <c r="G63" i="9"/>
  <c r="F66" i="9"/>
  <c r="F67" i="9" s="1"/>
  <c r="H66" i="9"/>
  <c r="H67" i="9" s="1"/>
  <c r="G40" i="9"/>
  <c r="G45" i="9"/>
  <c r="G47" i="9"/>
  <c r="G50" i="9"/>
  <c r="G52" i="9"/>
  <c r="J52" i="9" s="1"/>
  <c r="G56" i="9"/>
  <c r="G59" i="9"/>
  <c r="G66" i="9"/>
  <c r="G67" i="9" s="1"/>
  <c r="I66" i="9"/>
  <c r="I67" i="9" s="1"/>
  <c r="J40" i="9" l="1"/>
  <c r="K40" i="9" s="1"/>
  <c r="L40" i="9" s="1"/>
  <c r="J59" i="9"/>
  <c r="J50" i="9"/>
  <c r="F64" i="9"/>
  <c r="J42" i="9"/>
  <c r="K42" i="9" s="1"/>
  <c r="L42" i="9" s="1"/>
  <c r="J51" i="9"/>
  <c r="J41" i="9"/>
  <c r="J45" i="9"/>
  <c r="J63" i="9"/>
  <c r="K63" i="9" s="1"/>
  <c r="L63" i="9" s="1"/>
  <c r="J47" i="9"/>
  <c r="J44" i="9"/>
  <c r="J30" i="9"/>
  <c r="K30" i="9" s="1"/>
  <c r="L30" i="9" s="1"/>
  <c r="J14" i="9"/>
  <c r="O75" i="9"/>
  <c r="J56" i="9"/>
  <c r="J57" i="9"/>
  <c r="J16" i="9"/>
  <c r="H64" i="9"/>
  <c r="J17" i="9"/>
  <c r="K59" i="9"/>
  <c r="L59" i="9" s="1"/>
  <c r="K50" i="9"/>
  <c r="L50" i="9"/>
  <c r="K45" i="9"/>
  <c r="L45" i="9" s="1"/>
  <c r="K57" i="9"/>
  <c r="L57" i="9" s="1"/>
  <c r="K44" i="9"/>
  <c r="L44" i="9" s="1"/>
  <c r="K20" i="9"/>
  <c r="L20" i="9" s="1"/>
  <c r="K16" i="9"/>
  <c r="L16" i="9" s="1"/>
  <c r="K15" i="9"/>
  <c r="L15" i="9" s="1"/>
  <c r="K56" i="9"/>
  <c r="L56" i="9" s="1"/>
  <c r="K48" i="9"/>
  <c r="L48" i="9" s="1"/>
  <c r="K17" i="9"/>
  <c r="L17" i="9" s="1"/>
  <c r="K55" i="9"/>
  <c r="L55" i="9" s="1"/>
  <c r="K52" i="9"/>
  <c r="L52" i="9" s="1"/>
  <c r="K47" i="9"/>
  <c r="L47" i="9" s="1"/>
  <c r="J53" i="9"/>
  <c r="K58" i="9"/>
  <c r="L58" i="9" s="1"/>
  <c r="K51" i="9"/>
  <c r="L51" i="9" s="1"/>
  <c r="K46" i="9"/>
  <c r="L46" i="9" s="1"/>
  <c r="K41" i="9"/>
  <c r="L41" i="9" s="1"/>
  <c r="K37" i="9"/>
  <c r="L37" i="9" s="1"/>
  <c r="K14" i="9"/>
  <c r="L14" i="9" s="1"/>
  <c r="I29" i="9"/>
  <c r="H29" i="9"/>
  <c r="F29" i="9"/>
  <c r="G29" i="9"/>
  <c r="E18" i="9"/>
  <c r="E21" i="9" s="1"/>
  <c r="G13" i="9"/>
  <c r="H13" i="9"/>
  <c r="F13" i="9"/>
  <c r="E12" i="9"/>
  <c r="I13" i="9"/>
  <c r="J66" i="9"/>
  <c r="F53" i="9"/>
  <c r="G53" i="9"/>
  <c r="G64" i="9"/>
  <c r="H53" i="9"/>
  <c r="J29" i="9" l="1"/>
  <c r="J64" i="9"/>
  <c r="K29" i="9"/>
  <c r="L29" i="9" s="1"/>
  <c r="M41" i="9"/>
  <c r="N41" i="9"/>
  <c r="O41" i="9" s="1"/>
  <c r="M51" i="9"/>
  <c r="N51" i="9" s="1"/>
  <c r="O51" i="9" s="1"/>
  <c r="M47" i="9"/>
  <c r="N47" i="9"/>
  <c r="O47" i="9" s="1"/>
  <c r="M15" i="9"/>
  <c r="N15" i="9" s="1"/>
  <c r="O15" i="9" s="1"/>
  <c r="M57" i="9"/>
  <c r="N57" i="9" s="1"/>
  <c r="O57" i="9" s="1"/>
  <c r="M37" i="9"/>
  <c r="N37" i="9"/>
  <c r="O37" i="9" s="1"/>
  <c r="M46" i="9"/>
  <c r="N46" i="9" s="1"/>
  <c r="O46" i="9" s="1"/>
  <c r="M58" i="9"/>
  <c r="N58" i="9" s="1"/>
  <c r="O58" i="9" s="1"/>
  <c r="M42" i="9"/>
  <c r="N42" i="9"/>
  <c r="O42" i="9" s="1"/>
  <c r="M52" i="9"/>
  <c r="N52" i="9" s="1"/>
  <c r="O52" i="9" s="1"/>
  <c r="M48" i="9"/>
  <c r="N48" i="9" s="1"/>
  <c r="O48" i="9" s="1"/>
  <c r="M44" i="9"/>
  <c r="N44" i="9" s="1"/>
  <c r="O44" i="9" s="1"/>
  <c r="M63" i="9"/>
  <c r="N63" i="9" s="1"/>
  <c r="O63" i="9" s="1"/>
  <c r="I12" i="9"/>
  <c r="I18" i="9"/>
  <c r="I21" i="9" s="1"/>
  <c r="F12" i="9"/>
  <c r="F18" i="9"/>
  <c r="F21" i="9" s="1"/>
  <c r="M14" i="9"/>
  <c r="N14" i="9" s="1"/>
  <c r="O14" i="9" s="1"/>
  <c r="L53" i="9"/>
  <c r="M40" i="9"/>
  <c r="N40" i="9" s="1"/>
  <c r="L64" i="9"/>
  <c r="M55" i="9"/>
  <c r="M17" i="9"/>
  <c r="N17" i="9" s="1"/>
  <c r="O17" i="9" s="1"/>
  <c r="M56" i="9"/>
  <c r="N56" i="9" s="1"/>
  <c r="O56" i="9" s="1"/>
  <c r="M16" i="9"/>
  <c r="N16" i="9" s="1"/>
  <c r="O16" i="9" s="1"/>
  <c r="M30" i="9"/>
  <c r="N30" i="9" s="1"/>
  <c r="O30" i="9" s="1"/>
  <c r="M20" i="9"/>
  <c r="N20" i="9" s="1"/>
  <c r="O20" i="9" s="1"/>
  <c r="M45" i="9"/>
  <c r="N45" i="9"/>
  <c r="O45" i="9" s="1"/>
  <c r="M50" i="9"/>
  <c r="N50" i="9" s="1"/>
  <c r="O50" i="9" s="1"/>
  <c r="M59" i="9"/>
  <c r="N59" i="9" s="1"/>
  <c r="O59" i="9" s="1"/>
  <c r="K66" i="9"/>
  <c r="K67" i="9" s="1"/>
  <c r="J67" i="9"/>
  <c r="H18" i="9"/>
  <c r="H21" i="9" s="1"/>
  <c r="H12" i="9"/>
  <c r="G12" i="9"/>
  <c r="G18" i="9"/>
  <c r="G21" i="9" s="1"/>
  <c r="J13" i="9"/>
  <c r="K53" i="9"/>
  <c r="K64" i="9"/>
  <c r="L66" i="9" l="1"/>
  <c r="L67" i="9" s="1"/>
  <c r="M64" i="9"/>
  <c r="M29" i="9"/>
  <c r="N29" i="9" s="1"/>
  <c r="O29" i="9" s="1"/>
  <c r="K13" i="9"/>
  <c r="L13" i="9" s="1"/>
  <c r="J18" i="9"/>
  <c r="J21" i="9" s="1"/>
  <c r="J12" i="9"/>
  <c r="O40" i="9"/>
  <c r="N53" i="9"/>
  <c r="M66" i="9"/>
  <c r="M67" i="9" s="1"/>
  <c r="N55" i="9"/>
  <c r="M53" i="9"/>
  <c r="O53" i="9" l="1"/>
  <c r="O31" i="9"/>
  <c r="N66" i="9"/>
  <c r="N64" i="9"/>
  <c r="O55" i="9"/>
  <c r="O66" i="9"/>
  <c r="N67" i="9"/>
  <c r="L12" i="9"/>
  <c r="L18" i="9"/>
  <c r="L21" i="9" s="1"/>
  <c r="M13" i="9"/>
  <c r="K18" i="9"/>
  <c r="K21" i="9" s="1"/>
  <c r="K12" i="9"/>
  <c r="O64" i="9" l="1"/>
  <c r="O67" i="9"/>
  <c r="M12" i="9"/>
  <c r="M18" i="9"/>
  <c r="M21" i="9" s="1"/>
  <c r="N13" i="9"/>
  <c r="N18" i="9" l="1"/>
  <c r="N21" i="9" s="1"/>
  <c r="O13" i="9"/>
  <c r="N12" i="9"/>
  <c r="P77" i="9" l="1"/>
  <c r="O18" i="9"/>
  <c r="O21" i="9" s="1"/>
  <c r="O77" i="9" s="1"/>
  <c r="O12" i="9"/>
  <c r="L75" i="7" l="1"/>
  <c r="M75" i="7" s="1"/>
  <c r="J72" i="7"/>
  <c r="K72" i="7" s="1"/>
  <c r="J70" i="7"/>
  <c r="K70" i="7" s="1"/>
  <c r="D68" i="7"/>
  <c r="H67" i="7"/>
  <c r="E67" i="7"/>
  <c r="E66" i="7"/>
  <c r="D64" i="7"/>
  <c r="E63" i="7"/>
  <c r="I63" i="7" s="1"/>
  <c r="E59" i="7"/>
  <c r="E58" i="7"/>
  <c r="I58" i="7" s="1"/>
  <c r="E57" i="7"/>
  <c r="E56" i="7"/>
  <c r="I56" i="7" s="1"/>
  <c r="E55" i="7"/>
  <c r="D53" i="7"/>
  <c r="E52" i="7"/>
  <c r="I52" i="7" s="1"/>
  <c r="E51" i="7"/>
  <c r="E50" i="7"/>
  <c r="I50" i="7" s="1"/>
  <c r="E48" i="7"/>
  <c r="E47" i="7"/>
  <c r="I47" i="7" s="1"/>
  <c r="E46" i="7"/>
  <c r="E45" i="7"/>
  <c r="I45" i="7" s="1"/>
  <c r="E44" i="7"/>
  <c r="E42" i="7"/>
  <c r="I42" i="7" s="1"/>
  <c r="E41" i="7"/>
  <c r="E40" i="7"/>
  <c r="B30" i="7"/>
  <c r="D30" i="7" s="1"/>
  <c r="E30" i="7" s="1"/>
  <c r="B29" i="7"/>
  <c r="D29" i="7" s="1"/>
  <c r="F25" i="7"/>
  <c r="F33" i="7" s="1"/>
  <c r="L23" i="7"/>
  <c r="M23" i="7" s="1"/>
  <c r="B20" i="7"/>
  <c r="D20" i="7" s="1"/>
  <c r="E20" i="7" s="1"/>
  <c r="D19" i="7"/>
  <c r="E19" i="7" s="1"/>
  <c r="B16" i="7"/>
  <c r="D16" i="7" s="1"/>
  <c r="E16" i="7" s="1"/>
  <c r="B15" i="7"/>
  <c r="D15" i="7" s="1"/>
  <c r="E15" i="7" s="1"/>
  <c r="B14" i="7"/>
  <c r="D14" i="7" s="1"/>
  <c r="E14" i="7" s="1"/>
  <c r="D13" i="7"/>
  <c r="E13" i="7" s="1"/>
  <c r="B12" i="7"/>
  <c r="D12" i="7" s="1"/>
  <c r="D37" i="7" l="1"/>
  <c r="R35" i="7" s="1"/>
  <c r="D31" i="7"/>
  <c r="F58" i="7"/>
  <c r="F56" i="7"/>
  <c r="E68" i="7"/>
  <c r="E53" i="7"/>
  <c r="E64" i="7"/>
  <c r="F63" i="7"/>
  <c r="E37" i="7"/>
  <c r="H37" i="7" s="1"/>
  <c r="F40" i="7"/>
  <c r="F42" i="7"/>
  <c r="F45" i="7"/>
  <c r="F47" i="7"/>
  <c r="F50" i="7"/>
  <c r="F52" i="7"/>
  <c r="D89" i="7"/>
  <c r="H40" i="7"/>
  <c r="H42" i="7"/>
  <c r="H45" i="7"/>
  <c r="H47" i="7"/>
  <c r="H50" i="7"/>
  <c r="H52" i="7"/>
  <c r="H56" i="7"/>
  <c r="H58" i="7"/>
  <c r="H63" i="7"/>
  <c r="F67" i="7"/>
  <c r="D17" i="7"/>
  <c r="E12" i="7"/>
  <c r="H15" i="7"/>
  <c r="F15" i="7"/>
  <c r="I15" i="7"/>
  <c r="G15" i="7"/>
  <c r="I16" i="7"/>
  <c r="G16" i="7"/>
  <c r="H16" i="7"/>
  <c r="F16" i="7"/>
  <c r="H20" i="7"/>
  <c r="F20" i="7"/>
  <c r="I20" i="7"/>
  <c r="G20" i="7"/>
  <c r="I14" i="7"/>
  <c r="G14" i="7"/>
  <c r="H14" i="7"/>
  <c r="F14" i="7"/>
  <c r="I19" i="7"/>
  <c r="G19" i="7"/>
  <c r="H19" i="7"/>
  <c r="F19" i="7"/>
  <c r="H30" i="7"/>
  <c r="F30" i="7"/>
  <c r="I30" i="7"/>
  <c r="G30" i="7"/>
  <c r="D11" i="7"/>
  <c r="I37" i="7"/>
  <c r="G41" i="7"/>
  <c r="I41" i="7"/>
  <c r="G44" i="7"/>
  <c r="I44" i="7"/>
  <c r="G46" i="7"/>
  <c r="I46" i="7"/>
  <c r="G48" i="7"/>
  <c r="I48" i="7"/>
  <c r="G51" i="7"/>
  <c r="I51" i="7"/>
  <c r="G55" i="7"/>
  <c r="I55" i="7"/>
  <c r="G57" i="7"/>
  <c r="I57" i="7"/>
  <c r="G59" i="7"/>
  <c r="I59" i="7"/>
  <c r="G66" i="7"/>
  <c r="I66" i="7"/>
  <c r="L70" i="7"/>
  <c r="L72" i="7"/>
  <c r="N75" i="7"/>
  <c r="O75" i="7" s="1"/>
  <c r="O76" i="7" s="1"/>
  <c r="G13" i="7"/>
  <c r="I13" i="7"/>
  <c r="N23" i="7"/>
  <c r="O23" i="7" s="1"/>
  <c r="P23" i="7" s="1"/>
  <c r="F13" i="7"/>
  <c r="H13" i="7"/>
  <c r="E29" i="7"/>
  <c r="F37" i="7"/>
  <c r="G40" i="7"/>
  <c r="I40" i="7"/>
  <c r="F41" i="7"/>
  <c r="H41" i="7"/>
  <c r="G42" i="7"/>
  <c r="F44" i="7"/>
  <c r="H44" i="7"/>
  <c r="G45" i="7"/>
  <c r="F46" i="7"/>
  <c r="H46" i="7"/>
  <c r="G47" i="7"/>
  <c r="J47" i="7" s="1"/>
  <c r="F48" i="7"/>
  <c r="H48" i="7"/>
  <c r="G50" i="7"/>
  <c r="F51" i="7"/>
  <c r="H51" i="7"/>
  <c r="G52" i="7"/>
  <c r="F55" i="7"/>
  <c r="H55" i="7"/>
  <c r="G56" i="7"/>
  <c r="F57" i="7"/>
  <c r="H57" i="7"/>
  <c r="G58" i="7"/>
  <c r="J58" i="7" s="1"/>
  <c r="F59" i="7"/>
  <c r="H59" i="7"/>
  <c r="G63" i="7"/>
  <c r="F66" i="7"/>
  <c r="F68" i="7" s="1"/>
  <c r="H66" i="7"/>
  <c r="H68" i="7" s="1"/>
  <c r="G67" i="7"/>
  <c r="I67" i="7"/>
  <c r="J50" i="7" l="1"/>
  <c r="K50" i="7" s="1"/>
  <c r="L50" i="7" s="1"/>
  <c r="J52" i="7"/>
  <c r="J46" i="7"/>
  <c r="J42" i="7"/>
  <c r="J45" i="7"/>
  <c r="K45" i="7" s="1"/>
  <c r="J51" i="7"/>
  <c r="H53" i="7"/>
  <c r="F53" i="7"/>
  <c r="I68" i="7"/>
  <c r="J63" i="7"/>
  <c r="K63" i="7" s="1"/>
  <c r="L63" i="7" s="1"/>
  <c r="I53" i="7"/>
  <c r="J48" i="7"/>
  <c r="J44" i="7"/>
  <c r="G37" i="7"/>
  <c r="J37" i="7" s="1"/>
  <c r="K37" i="7" s="1"/>
  <c r="L37" i="7" s="1"/>
  <c r="J30" i="7"/>
  <c r="K30" i="7" s="1"/>
  <c r="L30" i="7" s="1"/>
  <c r="J15" i="7"/>
  <c r="K15" i="7" s="1"/>
  <c r="L15" i="7" s="1"/>
  <c r="J59" i="7"/>
  <c r="J56" i="7"/>
  <c r="J13" i="7"/>
  <c r="K13" i="7" s="1"/>
  <c r="L13" i="7" s="1"/>
  <c r="J66" i="7"/>
  <c r="J57" i="7"/>
  <c r="K57" i="7" s="1"/>
  <c r="L57" i="7" s="1"/>
  <c r="J19" i="7"/>
  <c r="J14" i="7"/>
  <c r="K14" i="7" s="1"/>
  <c r="L14" i="7" s="1"/>
  <c r="J16" i="7"/>
  <c r="K16" i="7" s="1"/>
  <c r="K59" i="7"/>
  <c r="L59" i="7" s="1"/>
  <c r="K56" i="7"/>
  <c r="L56" i="7"/>
  <c r="K66" i="7"/>
  <c r="L66" i="7" s="1"/>
  <c r="K48" i="7"/>
  <c r="L48" i="7" s="1"/>
  <c r="K44" i="7"/>
  <c r="L44" i="7" s="1"/>
  <c r="K19" i="7"/>
  <c r="L19" i="7" s="1"/>
  <c r="K58" i="7"/>
  <c r="L58" i="7" s="1"/>
  <c r="K52" i="7"/>
  <c r="L52" i="7"/>
  <c r="K51" i="7"/>
  <c r="L51" i="7" s="1"/>
  <c r="K47" i="7"/>
  <c r="L47" i="7" s="1"/>
  <c r="K46" i="7"/>
  <c r="L46" i="7" s="1"/>
  <c r="K42" i="7"/>
  <c r="L42" i="7" s="1"/>
  <c r="M72" i="7"/>
  <c r="N72" i="7" s="1"/>
  <c r="O72" i="7" s="1"/>
  <c r="P72" i="7" s="1"/>
  <c r="E17" i="7"/>
  <c r="E21" i="7" s="1"/>
  <c r="H12" i="7"/>
  <c r="F12" i="7"/>
  <c r="E11" i="7"/>
  <c r="I12" i="7"/>
  <c r="G12" i="7"/>
  <c r="I29" i="7"/>
  <c r="G29" i="7"/>
  <c r="H29" i="7"/>
  <c r="F29" i="7"/>
  <c r="M70" i="7"/>
  <c r="N70" i="7" s="1"/>
  <c r="O70" i="7" s="1"/>
  <c r="H64" i="7"/>
  <c r="G53" i="7"/>
  <c r="J67" i="7"/>
  <c r="G64" i="7"/>
  <c r="J41" i="7"/>
  <c r="J20" i="7"/>
  <c r="G68" i="7"/>
  <c r="J55" i="7"/>
  <c r="F64" i="7"/>
  <c r="I64" i="7"/>
  <c r="J40" i="7"/>
  <c r="L45" i="7" l="1"/>
  <c r="J29" i="7"/>
  <c r="K29" i="7" s="1"/>
  <c r="L16" i="7"/>
  <c r="M46" i="7"/>
  <c r="N46" i="7" s="1"/>
  <c r="O46" i="7" s="1"/>
  <c r="P46" i="7" s="1"/>
  <c r="M15" i="7"/>
  <c r="N15" i="7" s="1"/>
  <c r="O15" i="7" s="1"/>
  <c r="P15" i="7" s="1"/>
  <c r="M44" i="7"/>
  <c r="N44" i="7" s="1"/>
  <c r="O44" i="7" s="1"/>
  <c r="P44" i="7" s="1"/>
  <c r="M57" i="7"/>
  <c r="N57" i="7" s="1"/>
  <c r="O57" i="7" s="1"/>
  <c r="P57" i="7" s="1"/>
  <c r="M13" i="7"/>
  <c r="N13" i="7" s="1"/>
  <c r="O13" i="7" s="1"/>
  <c r="P13" i="7" s="1"/>
  <c r="M37" i="7"/>
  <c r="N37" i="7" s="1"/>
  <c r="O37" i="7" s="1"/>
  <c r="P37" i="7" s="1"/>
  <c r="M51" i="7"/>
  <c r="N51" i="7" s="1"/>
  <c r="O51" i="7" s="1"/>
  <c r="P51" i="7" s="1"/>
  <c r="M30" i="7"/>
  <c r="N30" i="7" s="1"/>
  <c r="O30" i="7" s="1"/>
  <c r="P30" i="7" s="1"/>
  <c r="M48" i="7"/>
  <c r="N48" i="7" s="1"/>
  <c r="O48" i="7" s="1"/>
  <c r="P48" i="7" s="1"/>
  <c r="M66" i="7"/>
  <c r="N66" i="7" s="1"/>
  <c r="O66" i="7" s="1"/>
  <c r="P66" i="7" s="1"/>
  <c r="M59" i="7"/>
  <c r="N59" i="7" s="1"/>
  <c r="O59" i="7" s="1"/>
  <c r="K40" i="7"/>
  <c r="L40" i="7" s="1"/>
  <c r="J53" i="7"/>
  <c r="J64" i="7"/>
  <c r="K55" i="7"/>
  <c r="K64" i="7" s="1"/>
  <c r="K20" i="7"/>
  <c r="I17" i="7"/>
  <c r="I21" i="7" s="1"/>
  <c r="I11" i="7"/>
  <c r="F17" i="7"/>
  <c r="F21" i="7" s="1"/>
  <c r="F11" i="7"/>
  <c r="M42" i="7"/>
  <c r="N42" i="7" s="1"/>
  <c r="O42" i="7" s="1"/>
  <c r="P42" i="7" s="1"/>
  <c r="M47" i="7"/>
  <c r="N47" i="7" s="1"/>
  <c r="O47" i="7" s="1"/>
  <c r="P47" i="7" s="1"/>
  <c r="M52" i="7"/>
  <c r="N52" i="7" s="1"/>
  <c r="O52" i="7" s="1"/>
  <c r="P52" i="7" s="1"/>
  <c r="M58" i="7"/>
  <c r="N58" i="7" s="1"/>
  <c r="O58" i="7" s="1"/>
  <c r="P58" i="7" s="1"/>
  <c r="M16" i="7"/>
  <c r="N16" i="7" s="1"/>
  <c r="O16" i="7" s="1"/>
  <c r="P16" i="7" s="1"/>
  <c r="M14" i="7"/>
  <c r="N14" i="7" s="1"/>
  <c r="O14" i="7" s="1"/>
  <c r="P14" i="7" s="1"/>
  <c r="M19" i="7"/>
  <c r="N19" i="7" s="1"/>
  <c r="O19" i="7" s="1"/>
  <c r="P19" i="7" s="1"/>
  <c r="M45" i="7"/>
  <c r="N45" i="7" s="1"/>
  <c r="O45" i="7" s="1"/>
  <c r="P45" i="7" s="1"/>
  <c r="M50" i="7"/>
  <c r="N50" i="7" s="1"/>
  <c r="O50" i="7" s="1"/>
  <c r="P50" i="7" s="1"/>
  <c r="M56" i="7"/>
  <c r="N56" i="7" s="1"/>
  <c r="O56" i="7" s="1"/>
  <c r="P56" i="7" s="1"/>
  <c r="M63" i="7"/>
  <c r="N63" i="7" s="1"/>
  <c r="O63" i="7" s="1"/>
  <c r="P63" i="7" s="1"/>
  <c r="K41" i="7"/>
  <c r="L41" i="7" s="1"/>
  <c r="K67" i="7"/>
  <c r="K68" i="7" s="1"/>
  <c r="J68" i="7"/>
  <c r="L67" i="7"/>
  <c r="G17" i="7"/>
  <c r="G21" i="7" s="1"/>
  <c r="G11" i="7"/>
  <c r="H17" i="7"/>
  <c r="H21" i="7" s="1"/>
  <c r="H11" i="7"/>
  <c r="J12" i="7"/>
  <c r="P17" i="7" l="1"/>
  <c r="L29" i="7"/>
  <c r="M29" i="7" s="1"/>
  <c r="M67" i="7"/>
  <c r="M68" i="7" s="1"/>
  <c r="L68" i="7"/>
  <c r="N67" i="7"/>
  <c r="M41" i="7"/>
  <c r="N41" i="7" s="1"/>
  <c r="O41" i="7" s="1"/>
  <c r="P41" i="7" s="1"/>
  <c r="J17" i="7"/>
  <c r="J21" i="7" s="1"/>
  <c r="K12" i="7"/>
  <c r="J11" i="7"/>
  <c r="M40" i="7"/>
  <c r="N40" i="7" s="1"/>
  <c r="L53" i="7"/>
  <c r="L55" i="7"/>
  <c r="L20" i="7"/>
  <c r="K53" i="7"/>
  <c r="N29" i="7" l="1"/>
  <c r="O29" i="7" s="1"/>
  <c r="C22" i="7"/>
  <c r="C23" i="7"/>
  <c r="L22" i="7"/>
  <c r="M20" i="7"/>
  <c r="L64" i="7"/>
  <c r="M55" i="7"/>
  <c r="M64" i="7" s="1"/>
  <c r="O67" i="7"/>
  <c r="N68" i="7"/>
  <c r="O40" i="7"/>
  <c r="N53" i="7"/>
  <c r="K17" i="7"/>
  <c r="K21" i="7" s="1"/>
  <c r="K11" i="7"/>
  <c r="M53" i="7"/>
  <c r="L12" i="7"/>
  <c r="O53" i="7" l="1"/>
  <c r="P40" i="7"/>
  <c r="P53" i="7" s="1"/>
  <c r="O68" i="7"/>
  <c r="P68" i="7" s="1"/>
  <c r="P67" i="7"/>
  <c r="O31" i="7"/>
  <c r="P29" i="7"/>
  <c r="M22" i="7"/>
  <c r="N22" i="7" s="1"/>
  <c r="O22" i="7" s="1"/>
  <c r="P22" i="7" s="1"/>
  <c r="L17" i="7"/>
  <c r="L21" i="7" s="1"/>
  <c r="M12" i="7"/>
  <c r="L11" i="7"/>
  <c r="N55" i="7"/>
  <c r="N20" i="7"/>
  <c r="O20" i="7" l="1"/>
  <c r="N64" i="7"/>
  <c r="O55" i="7"/>
  <c r="M17" i="7"/>
  <c r="M21" i="7" s="1"/>
  <c r="M11" i="7"/>
  <c r="N12" i="7"/>
  <c r="O64" i="7" l="1"/>
  <c r="P64" i="7" s="1"/>
  <c r="P78" i="7" s="1"/>
  <c r="P55" i="7"/>
  <c r="N17" i="7"/>
  <c r="N21" i="7" s="1"/>
  <c r="N11" i="7"/>
  <c r="O12" i="7"/>
  <c r="O11" i="7" s="1"/>
  <c r="O17" i="7" s="1"/>
  <c r="O21" i="7" s="1"/>
  <c r="O78" i="7" s="1"/>
  <c r="M76" i="6" l="1"/>
  <c r="L76" i="6"/>
  <c r="D69" i="6"/>
  <c r="E68" i="6"/>
  <c r="E67" i="6"/>
  <c r="I67" i="6" s="1"/>
  <c r="D65" i="6"/>
  <c r="E64" i="6"/>
  <c r="I64" i="6" s="1"/>
  <c r="E60" i="6"/>
  <c r="I60" i="6" s="1"/>
  <c r="E59" i="6"/>
  <c r="I59" i="6" s="1"/>
  <c r="E58" i="6"/>
  <c r="I58" i="6" s="1"/>
  <c r="E57" i="6"/>
  <c r="I57" i="6" s="1"/>
  <c r="E56" i="6"/>
  <c r="D54" i="6"/>
  <c r="E53" i="6"/>
  <c r="I53" i="6" s="1"/>
  <c r="E52" i="6"/>
  <c r="I52" i="6" s="1"/>
  <c r="E51" i="6"/>
  <c r="I51" i="6" s="1"/>
  <c r="E49" i="6"/>
  <c r="I49" i="6" s="1"/>
  <c r="E48" i="6"/>
  <c r="I48" i="6" s="1"/>
  <c r="E47" i="6"/>
  <c r="I47" i="6" s="1"/>
  <c r="E46" i="6"/>
  <c r="I46" i="6" s="1"/>
  <c r="E45" i="6"/>
  <c r="I45" i="6" s="1"/>
  <c r="E43" i="6"/>
  <c r="I43" i="6" s="1"/>
  <c r="E42" i="6"/>
  <c r="I42" i="6" s="1"/>
  <c r="E41" i="6"/>
  <c r="F41" i="6" s="1"/>
  <c r="B31" i="6"/>
  <c r="D31" i="6" s="1"/>
  <c r="E31" i="6" s="1"/>
  <c r="B30" i="6"/>
  <c r="D30" i="6" s="1"/>
  <c r="D32" i="6" s="1"/>
  <c r="L23" i="6"/>
  <c r="C23" i="6"/>
  <c r="L22" i="6"/>
  <c r="M22" i="6" s="1"/>
  <c r="C22" i="6"/>
  <c r="E20" i="6"/>
  <c r="I20" i="6" s="1"/>
  <c r="B20" i="6"/>
  <c r="C20" i="6" s="1"/>
  <c r="B17" i="6"/>
  <c r="D17" i="6" s="1"/>
  <c r="E17" i="6" s="1"/>
  <c r="B16" i="6"/>
  <c r="D16" i="6" s="1"/>
  <c r="E16" i="6" s="1"/>
  <c r="B15" i="6"/>
  <c r="D15" i="6" s="1"/>
  <c r="E15" i="6" s="1"/>
  <c r="B14" i="6"/>
  <c r="D14" i="6" s="1"/>
  <c r="E14" i="6" s="1"/>
  <c r="B13" i="6"/>
  <c r="D13" i="6" s="1"/>
  <c r="E4" i="6"/>
  <c r="L75" i="6" s="1"/>
  <c r="H48" i="6" l="1"/>
  <c r="H46" i="6"/>
  <c r="H43" i="6"/>
  <c r="H53" i="6"/>
  <c r="H41" i="6"/>
  <c r="H51" i="6"/>
  <c r="F43" i="6"/>
  <c r="F46" i="6"/>
  <c r="F48" i="6"/>
  <c r="F51" i="6"/>
  <c r="F53" i="6"/>
  <c r="E69" i="6"/>
  <c r="H67" i="6"/>
  <c r="F20" i="6"/>
  <c r="F57" i="6"/>
  <c r="F59" i="6"/>
  <c r="H20" i="6"/>
  <c r="D38" i="6"/>
  <c r="D87" i="6" s="1"/>
  <c r="H57" i="6"/>
  <c r="H59" i="6"/>
  <c r="M23" i="6"/>
  <c r="N23" i="6" s="1"/>
  <c r="O23" i="6" s="1"/>
  <c r="E54" i="6"/>
  <c r="E65" i="6"/>
  <c r="F67" i="6"/>
  <c r="N76" i="6"/>
  <c r="O76" i="6" s="1"/>
  <c r="D12" i="6"/>
  <c r="D18" i="6"/>
  <c r="E13" i="6"/>
  <c r="F14" i="6"/>
  <c r="I14" i="6"/>
  <c r="G14" i="6"/>
  <c r="H14" i="6"/>
  <c r="G17" i="6"/>
  <c r="H17" i="6"/>
  <c r="F17" i="6"/>
  <c r="I17" i="6"/>
  <c r="M75" i="6"/>
  <c r="N75" i="6" s="1"/>
  <c r="O75" i="6" s="1"/>
  <c r="G15" i="6"/>
  <c r="H15" i="6"/>
  <c r="F15" i="6"/>
  <c r="I15" i="6"/>
  <c r="F16" i="6"/>
  <c r="I16" i="6"/>
  <c r="G16" i="6"/>
  <c r="H16" i="6"/>
  <c r="H31" i="6"/>
  <c r="F31" i="6"/>
  <c r="I31" i="6"/>
  <c r="G31" i="6"/>
  <c r="N22" i="6"/>
  <c r="O22" i="6" s="1"/>
  <c r="G20" i="6"/>
  <c r="E30" i="6"/>
  <c r="G41" i="6"/>
  <c r="I41" i="6"/>
  <c r="I54" i="6" s="1"/>
  <c r="F42" i="6"/>
  <c r="H42" i="6"/>
  <c r="G43" i="6"/>
  <c r="F45" i="6"/>
  <c r="H45" i="6"/>
  <c r="G46" i="6"/>
  <c r="J46" i="6" s="1"/>
  <c r="F47" i="6"/>
  <c r="H47" i="6"/>
  <c r="G48" i="6"/>
  <c r="F49" i="6"/>
  <c r="J49" i="6" s="1"/>
  <c r="H49" i="6"/>
  <c r="G51" i="6"/>
  <c r="F52" i="6"/>
  <c r="H52" i="6"/>
  <c r="G53" i="6"/>
  <c r="F56" i="6"/>
  <c r="H56" i="6"/>
  <c r="G57" i="6"/>
  <c r="J57" i="6" s="1"/>
  <c r="F58" i="6"/>
  <c r="H58" i="6"/>
  <c r="G59" i="6"/>
  <c r="F60" i="6"/>
  <c r="H60" i="6"/>
  <c r="F64" i="6"/>
  <c r="H64" i="6"/>
  <c r="G67" i="6"/>
  <c r="F68" i="6"/>
  <c r="H68" i="6"/>
  <c r="J70" i="6"/>
  <c r="J71" i="6"/>
  <c r="L74" i="6"/>
  <c r="G42" i="6"/>
  <c r="G45" i="6"/>
  <c r="J45" i="6" s="1"/>
  <c r="G47" i="6"/>
  <c r="J47" i="6" s="1"/>
  <c r="G49" i="6"/>
  <c r="G52" i="6"/>
  <c r="G56" i="6"/>
  <c r="I56" i="6"/>
  <c r="I65" i="6" s="1"/>
  <c r="G58" i="6"/>
  <c r="G60" i="6"/>
  <c r="G64" i="6"/>
  <c r="G68" i="6"/>
  <c r="G69" i="6" s="1"/>
  <c r="I68" i="6"/>
  <c r="I69" i="6" s="1"/>
  <c r="J53" i="6" l="1"/>
  <c r="J48" i="6"/>
  <c r="J60" i="6"/>
  <c r="J42" i="6"/>
  <c r="H69" i="6"/>
  <c r="J58" i="6"/>
  <c r="F69" i="6"/>
  <c r="J43" i="6"/>
  <c r="K43" i="6" s="1"/>
  <c r="L43" i="6" s="1"/>
  <c r="J52" i="6"/>
  <c r="K52" i="6" s="1"/>
  <c r="L52" i="6" s="1"/>
  <c r="H54" i="6"/>
  <c r="J51" i="6"/>
  <c r="J16" i="6"/>
  <c r="K16" i="6" s="1"/>
  <c r="L16" i="6" s="1"/>
  <c r="E38" i="6"/>
  <c r="F38" i="6" s="1"/>
  <c r="J14" i="6"/>
  <c r="K14" i="6" s="1"/>
  <c r="L14" i="6" s="1"/>
  <c r="J31" i="6"/>
  <c r="K31" i="6" s="1"/>
  <c r="J15" i="6"/>
  <c r="K15" i="6" s="1"/>
  <c r="L15" i="6" s="1"/>
  <c r="J67" i="6"/>
  <c r="K67" i="6" s="1"/>
  <c r="L67" i="6" s="1"/>
  <c r="F54" i="6"/>
  <c r="J20" i="6"/>
  <c r="K20" i="6" s="1"/>
  <c r="L20" i="6" s="1"/>
  <c r="J17" i="6"/>
  <c r="K17" i="6" s="1"/>
  <c r="L17" i="6" s="1"/>
  <c r="J64" i="6"/>
  <c r="K64" i="6" s="1"/>
  <c r="J59" i="6"/>
  <c r="K59" i="6" s="1"/>
  <c r="L59" i="6" s="1"/>
  <c r="K60" i="6"/>
  <c r="L60" i="6" s="1"/>
  <c r="K47" i="6"/>
  <c r="L47" i="6" s="1"/>
  <c r="K46" i="6"/>
  <c r="L46" i="6" s="1"/>
  <c r="K51" i="6"/>
  <c r="L51" i="6" s="1"/>
  <c r="M74" i="6"/>
  <c r="N74" i="6" s="1"/>
  <c r="O74" i="6" s="1"/>
  <c r="K70" i="6"/>
  <c r="L70" i="6" s="1"/>
  <c r="K58" i="6"/>
  <c r="L58" i="6" s="1"/>
  <c r="K49" i="6"/>
  <c r="L49" i="6" s="1"/>
  <c r="K45" i="6"/>
  <c r="L45" i="6" s="1"/>
  <c r="K53" i="6"/>
  <c r="L53" i="6" s="1"/>
  <c r="K48" i="6"/>
  <c r="L48" i="6" s="1"/>
  <c r="K57" i="6"/>
  <c r="L57" i="6" s="1"/>
  <c r="K71" i="6"/>
  <c r="L71" i="6" s="1"/>
  <c r="I30" i="6"/>
  <c r="G30" i="6"/>
  <c r="H30" i="6"/>
  <c r="F30" i="6"/>
  <c r="E18" i="6"/>
  <c r="E21" i="6" s="1"/>
  <c r="G13" i="6"/>
  <c r="H13" i="6"/>
  <c r="F13" i="6"/>
  <c r="E12" i="6"/>
  <c r="I13" i="6"/>
  <c r="J56" i="6"/>
  <c r="F65" i="6"/>
  <c r="G54" i="6"/>
  <c r="G65" i="6"/>
  <c r="J41" i="6"/>
  <c r="J68" i="6"/>
  <c r="H65" i="6"/>
  <c r="K42" i="6" l="1"/>
  <c r="L42" i="6" s="1"/>
  <c r="I38" i="6"/>
  <c r="H38" i="6"/>
  <c r="G38" i="6"/>
  <c r="O77" i="6"/>
  <c r="L64" i="6"/>
  <c r="M64" i="6" s="1"/>
  <c r="N64" i="6" s="1"/>
  <c r="O64" i="6" s="1"/>
  <c r="L31" i="6"/>
  <c r="M31" i="6" s="1"/>
  <c r="N31" i="6" s="1"/>
  <c r="O31" i="6" s="1"/>
  <c r="J30" i="6"/>
  <c r="K30" i="6" s="1"/>
  <c r="L30" i="6" s="1"/>
  <c r="M57" i="6"/>
  <c r="N57" i="6" s="1"/>
  <c r="O57" i="6" s="1"/>
  <c r="M48" i="6"/>
  <c r="N48" i="6" s="1"/>
  <c r="O48" i="6" s="1"/>
  <c r="M51" i="6"/>
  <c r="N51" i="6" s="1"/>
  <c r="O51" i="6" s="1"/>
  <c r="M14" i="6"/>
  <c r="N14" i="6" s="1"/>
  <c r="O14" i="6" s="1"/>
  <c r="M46" i="6"/>
  <c r="N46" i="6" s="1"/>
  <c r="O46" i="6" s="1"/>
  <c r="M16" i="6"/>
  <c r="N16" i="6" s="1"/>
  <c r="O16" i="6" s="1"/>
  <c r="M43" i="6"/>
  <c r="N43" i="6" s="1"/>
  <c r="O43" i="6" s="1"/>
  <c r="M53" i="6"/>
  <c r="N53" i="6" s="1"/>
  <c r="O53" i="6" s="1"/>
  <c r="M59" i="6"/>
  <c r="N59" i="6" s="1"/>
  <c r="O59" i="6" s="1"/>
  <c r="M20" i="6"/>
  <c r="N20" i="6" s="1"/>
  <c r="O20" i="6" s="1"/>
  <c r="M67" i="6"/>
  <c r="N67" i="6" s="1"/>
  <c r="O67" i="6" s="1"/>
  <c r="J54" i="6"/>
  <c r="K41" i="6"/>
  <c r="K54" i="6" s="1"/>
  <c r="K56" i="6"/>
  <c r="K65" i="6" s="1"/>
  <c r="J65" i="6"/>
  <c r="H12" i="6"/>
  <c r="H18" i="6"/>
  <c r="H21" i="6" s="1"/>
  <c r="G12" i="6"/>
  <c r="G18" i="6"/>
  <c r="G21" i="6" s="1"/>
  <c r="M71" i="6"/>
  <c r="N71" i="6" s="1"/>
  <c r="O71" i="6" s="1"/>
  <c r="M45" i="6"/>
  <c r="N45" i="6" s="1"/>
  <c r="O45" i="6" s="1"/>
  <c r="M49" i="6"/>
  <c r="N49" i="6" s="1"/>
  <c r="O49" i="6" s="1"/>
  <c r="M58" i="6"/>
  <c r="N58" i="6" s="1"/>
  <c r="O58" i="6" s="1"/>
  <c r="M70" i="6"/>
  <c r="N70" i="6" s="1"/>
  <c r="O70" i="6" s="1"/>
  <c r="M15" i="6"/>
  <c r="N15" i="6" s="1"/>
  <c r="O15" i="6" s="1"/>
  <c r="M17" i="6"/>
  <c r="N17" i="6" s="1"/>
  <c r="O17" i="6" s="1"/>
  <c r="M47" i="6"/>
  <c r="N47" i="6" s="1"/>
  <c r="O47" i="6" s="1"/>
  <c r="M52" i="6"/>
  <c r="N52" i="6" s="1"/>
  <c r="O52" i="6" s="1"/>
  <c r="M60" i="6"/>
  <c r="N60" i="6" s="1"/>
  <c r="O60" i="6" s="1"/>
  <c r="K68" i="6"/>
  <c r="K69" i="6" s="1"/>
  <c r="J69" i="6"/>
  <c r="I18" i="6"/>
  <c r="I21" i="6" s="1"/>
  <c r="I12" i="6"/>
  <c r="F18" i="6"/>
  <c r="F21" i="6" s="1"/>
  <c r="F12" i="6"/>
  <c r="J13" i="6"/>
  <c r="M42" i="6" l="1"/>
  <c r="N42" i="6" s="1"/>
  <c r="O42" i="6" s="1"/>
  <c r="J38" i="6"/>
  <c r="K38" i="6" s="1"/>
  <c r="L68" i="6"/>
  <c r="L69" i="6" s="1"/>
  <c r="L56" i="6"/>
  <c r="M56" i="6" s="1"/>
  <c r="M65" i="6" s="1"/>
  <c r="L41" i="6"/>
  <c r="M41" i="6" s="1"/>
  <c r="M54" i="6" s="1"/>
  <c r="K13" i="6"/>
  <c r="L13" i="6" s="1"/>
  <c r="J18" i="6"/>
  <c r="J21" i="6" s="1"/>
  <c r="J12" i="6"/>
  <c r="L54" i="6"/>
  <c r="M30" i="6"/>
  <c r="N30" i="6" s="1"/>
  <c r="O30" i="6" s="1"/>
  <c r="M68" i="6"/>
  <c r="M69" i="6" s="1"/>
  <c r="L38" i="6" l="1"/>
  <c r="M38" i="6" s="1"/>
  <c r="L65" i="6"/>
  <c r="O32" i="6"/>
  <c r="N68" i="6"/>
  <c r="O68" i="6" s="1"/>
  <c r="N56" i="6"/>
  <c r="O56" i="6" s="1"/>
  <c r="N65" i="6"/>
  <c r="L12" i="6"/>
  <c r="L18" i="6"/>
  <c r="L21" i="6" s="1"/>
  <c r="M13" i="6"/>
  <c r="N13" i="6" s="1"/>
  <c r="K12" i="6"/>
  <c r="K18" i="6"/>
  <c r="K21" i="6" s="1"/>
  <c r="N41" i="6"/>
  <c r="N69" i="6" l="1"/>
  <c r="N38" i="6"/>
  <c r="O38" i="6" s="1"/>
  <c r="O65" i="6"/>
  <c r="O69" i="6"/>
  <c r="O13" i="6"/>
  <c r="N18" i="6"/>
  <c r="N21" i="6" s="1"/>
  <c r="N12" i="6"/>
  <c r="N54" i="6"/>
  <c r="O41" i="6"/>
  <c r="M12" i="6"/>
  <c r="M18" i="6"/>
  <c r="M21" i="6" s="1"/>
  <c r="O54" i="6" l="1"/>
  <c r="O12" i="6"/>
  <c r="O18" i="6" l="1"/>
  <c r="L78" i="4"/>
  <c r="L77" i="4"/>
  <c r="D69" i="4"/>
  <c r="E68" i="4"/>
  <c r="H68" i="4" s="1"/>
  <c r="E67" i="4"/>
  <c r="I67" i="4" s="1"/>
  <c r="D65" i="4"/>
  <c r="E64" i="4"/>
  <c r="F64" i="4" s="1"/>
  <c r="E60" i="4"/>
  <c r="I60" i="4" s="1"/>
  <c r="E59" i="4"/>
  <c r="I59" i="4" s="1"/>
  <c r="E58" i="4"/>
  <c r="I58" i="4" s="1"/>
  <c r="E57" i="4"/>
  <c r="I57" i="4" s="1"/>
  <c r="E56" i="4"/>
  <c r="I56" i="4" s="1"/>
  <c r="D54" i="4"/>
  <c r="E53" i="4"/>
  <c r="H53" i="4" s="1"/>
  <c r="E52" i="4"/>
  <c r="I52" i="4" s="1"/>
  <c r="E51" i="4"/>
  <c r="I51" i="4" s="1"/>
  <c r="E49" i="4"/>
  <c r="I49" i="4" s="1"/>
  <c r="E48" i="4"/>
  <c r="I48" i="4" s="1"/>
  <c r="E47" i="4"/>
  <c r="I47" i="4" s="1"/>
  <c r="E46" i="4"/>
  <c r="I46" i="4" s="1"/>
  <c r="E45" i="4"/>
  <c r="I45" i="4" s="1"/>
  <c r="E43" i="4"/>
  <c r="I43" i="4" s="1"/>
  <c r="E42" i="4"/>
  <c r="I42" i="4" s="1"/>
  <c r="E41" i="4"/>
  <c r="I41" i="4" s="1"/>
  <c r="B31" i="4"/>
  <c r="D31" i="4" s="1"/>
  <c r="E31" i="4" s="1"/>
  <c r="B30" i="4"/>
  <c r="D30" i="4" s="1"/>
  <c r="M24" i="4"/>
  <c r="N24" i="4" s="1"/>
  <c r="C24" i="4"/>
  <c r="C23" i="4"/>
  <c r="L23" i="4" s="1"/>
  <c r="B21" i="4"/>
  <c r="D21" i="4" s="1"/>
  <c r="E21" i="4" s="1"/>
  <c r="D20" i="4"/>
  <c r="E20" i="4" s="1"/>
  <c r="B20" i="4"/>
  <c r="C20" i="4" s="1"/>
  <c r="B17" i="4"/>
  <c r="D17" i="4" s="1"/>
  <c r="E17" i="4" s="1"/>
  <c r="B16" i="4"/>
  <c r="D16" i="4" s="1"/>
  <c r="E16" i="4" s="1"/>
  <c r="B15" i="4"/>
  <c r="D15" i="4" s="1"/>
  <c r="E15" i="4" s="1"/>
  <c r="F15" i="4" s="1"/>
  <c r="B14" i="4"/>
  <c r="D14" i="4" s="1"/>
  <c r="E14" i="4" s="1"/>
  <c r="D13" i="4"/>
  <c r="B13" i="4"/>
  <c r="E5" i="4"/>
  <c r="O21" i="6" l="1"/>
  <c r="D38" i="4"/>
  <c r="F51" i="4"/>
  <c r="F53" i="4"/>
  <c r="F42" i="4"/>
  <c r="F45" i="4"/>
  <c r="F47" i="4"/>
  <c r="H48" i="4"/>
  <c r="H51" i="4"/>
  <c r="F57" i="4"/>
  <c r="F59" i="4"/>
  <c r="E69" i="4"/>
  <c r="E54" i="4"/>
  <c r="F48" i="4"/>
  <c r="E65" i="4"/>
  <c r="H42" i="4"/>
  <c r="H45" i="4"/>
  <c r="H47" i="4"/>
  <c r="H57" i="4"/>
  <c r="H59" i="4"/>
  <c r="H64" i="4"/>
  <c r="F68" i="4"/>
  <c r="H14" i="4"/>
  <c r="F14" i="4"/>
  <c r="H16" i="4"/>
  <c r="F16" i="4"/>
  <c r="H21" i="4"/>
  <c r="F21" i="4"/>
  <c r="I21" i="4"/>
  <c r="G21" i="4"/>
  <c r="H31" i="4"/>
  <c r="F31" i="4"/>
  <c r="I31" i="4"/>
  <c r="G31" i="4"/>
  <c r="L76" i="4"/>
  <c r="L75" i="4"/>
  <c r="J72" i="4"/>
  <c r="J70" i="4"/>
  <c r="E13" i="4"/>
  <c r="D12" i="4"/>
  <c r="D18" i="4"/>
  <c r="I15" i="4"/>
  <c r="G15" i="4"/>
  <c r="I17" i="4"/>
  <c r="G17" i="4"/>
  <c r="H17" i="4"/>
  <c r="F17" i="4"/>
  <c r="I20" i="4"/>
  <c r="G20" i="4"/>
  <c r="H20" i="4"/>
  <c r="F20" i="4"/>
  <c r="M23" i="4"/>
  <c r="N23" i="4" s="1"/>
  <c r="O23" i="4" s="1"/>
  <c r="I14" i="4"/>
  <c r="I16" i="4"/>
  <c r="G14" i="4"/>
  <c r="H15" i="4"/>
  <c r="G16" i="4"/>
  <c r="O24" i="4"/>
  <c r="D32" i="4"/>
  <c r="E30" i="4"/>
  <c r="Q37" i="4"/>
  <c r="E38" i="4"/>
  <c r="F41" i="4"/>
  <c r="H41" i="4"/>
  <c r="G42" i="4"/>
  <c r="F43" i="4"/>
  <c r="H43" i="4"/>
  <c r="G45" i="4"/>
  <c r="F46" i="4"/>
  <c r="H46" i="4"/>
  <c r="G47" i="4"/>
  <c r="G48" i="4"/>
  <c r="F49" i="4"/>
  <c r="H49" i="4"/>
  <c r="G51" i="4"/>
  <c r="F52" i="4"/>
  <c r="H52" i="4"/>
  <c r="G53" i="4"/>
  <c r="I53" i="4"/>
  <c r="I54" i="4" s="1"/>
  <c r="F56" i="4"/>
  <c r="H56" i="4"/>
  <c r="G57" i="4"/>
  <c r="J57" i="4" s="1"/>
  <c r="F58" i="4"/>
  <c r="H58" i="4"/>
  <c r="G59" i="4"/>
  <c r="F60" i="4"/>
  <c r="H60" i="4"/>
  <c r="G64" i="4"/>
  <c r="I64" i="4"/>
  <c r="I65" i="4" s="1"/>
  <c r="F67" i="4"/>
  <c r="H67" i="4"/>
  <c r="H69" i="4" s="1"/>
  <c r="G68" i="4"/>
  <c r="I68" i="4"/>
  <c r="I69" i="4" s="1"/>
  <c r="M77" i="4"/>
  <c r="N77" i="4" s="1"/>
  <c r="O77" i="4" s="1"/>
  <c r="M78" i="4"/>
  <c r="N78" i="4" s="1"/>
  <c r="O78" i="4" s="1"/>
  <c r="G41" i="4"/>
  <c r="G43" i="4"/>
  <c r="G46" i="4"/>
  <c r="J46" i="4" s="1"/>
  <c r="G49" i="4"/>
  <c r="G52" i="4"/>
  <c r="G56" i="4"/>
  <c r="G58" i="4"/>
  <c r="G60" i="4"/>
  <c r="G67" i="4"/>
  <c r="O78" i="6" l="1"/>
  <c r="J56" i="4"/>
  <c r="J64" i="4"/>
  <c r="K64" i="4" s="1"/>
  <c r="J49" i="4"/>
  <c r="H65" i="4"/>
  <c r="F65" i="4"/>
  <c r="J51" i="4"/>
  <c r="J31" i="4"/>
  <c r="J14" i="4"/>
  <c r="J43" i="4"/>
  <c r="J42" i="4"/>
  <c r="K42" i="4" s="1"/>
  <c r="L42" i="4" s="1"/>
  <c r="F54" i="4"/>
  <c r="J48" i="4"/>
  <c r="K48" i="4" s="1"/>
  <c r="L48" i="4" s="1"/>
  <c r="J45" i="4"/>
  <c r="J68" i="4"/>
  <c r="F69" i="4"/>
  <c r="J47" i="4"/>
  <c r="K47" i="4" s="1"/>
  <c r="L47" i="4" s="1"/>
  <c r="J17" i="4"/>
  <c r="J60" i="4"/>
  <c r="K60" i="4" s="1"/>
  <c r="L60" i="4" s="1"/>
  <c r="J41" i="4"/>
  <c r="K41" i="4" s="1"/>
  <c r="J59" i="4"/>
  <c r="J52" i="4"/>
  <c r="K52" i="4" s="1"/>
  <c r="L52" i="4" s="1"/>
  <c r="J16" i="4"/>
  <c r="K16" i="4" s="1"/>
  <c r="L16" i="4" s="1"/>
  <c r="J53" i="4"/>
  <c r="K53" i="4" s="1"/>
  <c r="J20" i="4"/>
  <c r="K20" i="4" s="1"/>
  <c r="J15" i="4"/>
  <c r="K15" i="4" s="1"/>
  <c r="J58" i="4"/>
  <c r="K58" i="4" s="1"/>
  <c r="J67" i="4"/>
  <c r="J69" i="4" s="1"/>
  <c r="H54" i="4"/>
  <c r="K56" i="4"/>
  <c r="L56" i="4" s="1"/>
  <c r="K46" i="4"/>
  <c r="L46" i="4" s="1"/>
  <c r="K59" i="4"/>
  <c r="L59" i="4" s="1"/>
  <c r="K45" i="4"/>
  <c r="L45" i="4" s="1"/>
  <c r="K31" i="4"/>
  <c r="L31" i="4" s="1"/>
  <c r="K14" i="4"/>
  <c r="L14" i="4" s="1"/>
  <c r="K49" i="4"/>
  <c r="L49" i="4" s="1"/>
  <c r="K43" i="4"/>
  <c r="K57" i="4"/>
  <c r="L57" i="4" s="1"/>
  <c r="K51" i="4"/>
  <c r="L51" i="4" s="1"/>
  <c r="K17" i="4"/>
  <c r="L17" i="4" s="1"/>
  <c r="K68" i="4"/>
  <c r="L68" i="4" s="1"/>
  <c r="H38" i="4"/>
  <c r="F38" i="4"/>
  <c r="I38" i="4"/>
  <c r="G38" i="4"/>
  <c r="I30" i="4"/>
  <c r="G30" i="4"/>
  <c r="H30" i="4"/>
  <c r="F30" i="4"/>
  <c r="K70" i="4"/>
  <c r="L70" i="4" s="1"/>
  <c r="M75" i="4"/>
  <c r="N75" i="4" s="1"/>
  <c r="O75" i="4" s="1"/>
  <c r="E18" i="4"/>
  <c r="E22" i="4" s="1"/>
  <c r="I13" i="4"/>
  <c r="G13" i="4"/>
  <c r="H13" i="4"/>
  <c r="F13" i="4"/>
  <c r="E12" i="4"/>
  <c r="K72" i="4"/>
  <c r="L72" i="4" s="1"/>
  <c r="M76" i="4"/>
  <c r="N76" i="4" s="1"/>
  <c r="O76" i="4" s="1"/>
  <c r="G65" i="4"/>
  <c r="G69" i="4"/>
  <c r="G54" i="4"/>
  <c r="J21" i="4"/>
  <c r="J13" i="4" l="1"/>
  <c r="L43" i="4"/>
  <c r="M43" i="4" s="1"/>
  <c r="N43" i="4" s="1"/>
  <c r="O43" i="4" s="1"/>
  <c r="J65" i="4"/>
  <c r="L15" i="4"/>
  <c r="L20" i="4"/>
  <c r="J38" i="4"/>
  <c r="K38" i="4" s="1"/>
  <c r="L38" i="4" s="1"/>
  <c r="K67" i="4"/>
  <c r="L67" i="4" s="1"/>
  <c r="M67" i="4" s="1"/>
  <c r="N67" i="4" s="1"/>
  <c r="O67" i="4" s="1"/>
  <c r="L41" i="4"/>
  <c r="L53" i="4"/>
  <c r="M53" i="4" s="1"/>
  <c r="J30" i="4"/>
  <c r="K30" i="4" s="1"/>
  <c r="J54" i="4"/>
  <c r="L58" i="4"/>
  <c r="M58" i="4" s="1"/>
  <c r="N58" i="4" s="1"/>
  <c r="O58" i="4" s="1"/>
  <c r="K65" i="4"/>
  <c r="M47" i="4"/>
  <c r="N47" i="4" s="1"/>
  <c r="O47" i="4" s="1"/>
  <c r="M57" i="4"/>
  <c r="N57" i="4" s="1"/>
  <c r="O57" i="4" s="1"/>
  <c r="M16" i="4"/>
  <c r="N16" i="4" s="1"/>
  <c r="O16" i="4" s="1"/>
  <c r="M45" i="4"/>
  <c r="N45" i="4" s="1"/>
  <c r="O45" i="4" s="1"/>
  <c r="M72" i="4"/>
  <c r="N72" i="4" s="1"/>
  <c r="O72" i="4" s="1"/>
  <c r="M52" i="4"/>
  <c r="N52" i="4" s="1"/>
  <c r="O52" i="4" s="1"/>
  <c r="M42" i="4"/>
  <c r="N42" i="4" s="1"/>
  <c r="O42" i="4" s="1"/>
  <c r="M51" i="4"/>
  <c r="N51" i="4" s="1"/>
  <c r="O51" i="4" s="1"/>
  <c r="M14" i="4"/>
  <c r="N14" i="4" s="1"/>
  <c r="O14" i="4" s="1"/>
  <c r="M31" i="4"/>
  <c r="N31" i="4" s="1"/>
  <c r="O31" i="4" s="1"/>
  <c r="P31" i="4" s="1"/>
  <c r="M59" i="4"/>
  <c r="N59" i="4" s="1"/>
  <c r="O59" i="4" s="1"/>
  <c r="K21" i="4"/>
  <c r="K13" i="4"/>
  <c r="J12" i="4"/>
  <c r="J18" i="4"/>
  <c r="J22" i="4" s="1"/>
  <c r="G18" i="4"/>
  <c r="G22" i="4" s="1"/>
  <c r="G12" i="4"/>
  <c r="M70" i="4"/>
  <c r="N70" i="4" s="1"/>
  <c r="O70" i="4" s="1"/>
  <c r="M48" i="4"/>
  <c r="N48" i="4" s="1"/>
  <c r="O48" i="4" s="1"/>
  <c r="L69" i="4"/>
  <c r="M68" i="4"/>
  <c r="N68" i="4" s="1"/>
  <c r="M15" i="4"/>
  <c r="N15" i="4" s="1"/>
  <c r="O15" i="4" s="1"/>
  <c r="P15" i="4" s="1"/>
  <c r="P18" i="4" s="1"/>
  <c r="P22" i="4" s="1"/>
  <c r="M17" i="4"/>
  <c r="N17" i="4" s="1"/>
  <c r="O17" i="4" s="1"/>
  <c r="M20" i="4"/>
  <c r="N20" i="4" s="1"/>
  <c r="O20" i="4" s="1"/>
  <c r="M49" i="4"/>
  <c r="N49" i="4" s="1"/>
  <c r="O49" i="4" s="1"/>
  <c r="M41" i="4"/>
  <c r="N41" i="4" s="1"/>
  <c r="O41" i="4" s="1"/>
  <c r="M46" i="4"/>
  <c r="N46" i="4" s="1"/>
  <c r="O46" i="4" s="1"/>
  <c r="M56" i="4"/>
  <c r="N56" i="4" s="1"/>
  <c r="O56" i="4" s="1"/>
  <c r="M60" i="4"/>
  <c r="N60" i="4" s="1"/>
  <c r="O60" i="4" s="1"/>
  <c r="F12" i="4"/>
  <c r="F18" i="4"/>
  <c r="F22" i="4" s="1"/>
  <c r="H12" i="4"/>
  <c r="H18" i="4"/>
  <c r="H22" i="4" s="1"/>
  <c r="I18" i="4"/>
  <c r="I22" i="4" s="1"/>
  <c r="I12" i="4"/>
  <c r="O79" i="4"/>
  <c r="K54" i="4"/>
  <c r="L64" i="4"/>
  <c r="K69" i="4"/>
  <c r="L30" i="4" l="1"/>
  <c r="L54" i="4"/>
  <c r="M69" i="4"/>
  <c r="M38" i="4"/>
  <c r="N38" i="4" s="1"/>
  <c r="O38" i="4" s="1"/>
  <c r="L65" i="4"/>
  <c r="M64" i="4"/>
  <c r="M65" i="4" s="1"/>
  <c r="N69" i="4"/>
  <c r="O68" i="4"/>
  <c r="K18" i="4"/>
  <c r="K22" i="4" s="1"/>
  <c r="K12" i="4"/>
  <c r="M30" i="4"/>
  <c r="N30" i="4" s="1"/>
  <c r="O30" i="4" s="1"/>
  <c r="M54" i="4"/>
  <c r="N53" i="4"/>
  <c r="L13" i="4"/>
  <c r="L21" i="4"/>
  <c r="O32" i="4" l="1"/>
  <c r="O69" i="4"/>
  <c r="M21" i="4"/>
  <c r="M13" i="4"/>
  <c r="L12" i="4"/>
  <c r="L18" i="4"/>
  <c r="L22" i="4" s="1"/>
  <c r="N54" i="4"/>
  <c r="O54" i="4" s="1"/>
  <c r="O53" i="4"/>
  <c r="N64" i="4"/>
  <c r="N65" i="4" l="1"/>
  <c r="O65" i="4" s="1"/>
  <c r="O64" i="4"/>
  <c r="M18" i="4"/>
  <c r="M22" i="4" s="1"/>
  <c r="M12" i="4"/>
  <c r="N13" i="4"/>
  <c r="N21" i="4"/>
  <c r="O21" i="4" l="1"/>
  <c r="O13" i="4"/>
  <c r="N12" i="4"/>
  <c r="N18" i="4"/>
  <c r="N22" i="4" s="1"/>
  <c r="O18" i="4" l="1"/>
  <c r="O12" i="4"/>
  <c r="O22" i="4" l="1"/>
  <c r="O81" i="4" l="1"/>
</calcChain>
</file>

<file path=xl/sharedStrings.xml><?xml version="1.0" encoding="utf-8"?>
<sst xmlns="http://schemas.openxmlformats.org/spreadsheetml/2006/main" count="1423" uniqueCount="138">
  <si>
    <t>Общая площадь помещений</t>
  </si>
  <si>
    <t>кв.м.</t>
  </si>
  <si>
    <t>Наименование работ</t>
  </si>
  <si>
    <t>объем выполняемых работ</t>
  </si>
  <si>
    <t xml:space="preserve">норма  обслуживания </t>
  </si>
  <si>
    <t>численность                         (ед.) гр.1: гр.2</t>
  </si>
  <si>
    <t>ФЗП</t>
  </si>
  <si>
    <t>ЕСН                 ( руб.)</t>
  </si>
  <si>
    <t>материалы</t>
  </si>
  <si>
    <t>прочие ( руб.)</t>
  </si>
  <si>
    <t>общеэксплуатац. расходы</t>
  </si>
  <si>
    <t>Себестоимость затрат     (гр.4+гр.5+гр.6+гр.7+гр.8)</t>
  </si>
  <si>
    <t>Рентабельность</t>
  </si>
  <si>
    <t xml:space="preserve"> Итого расходов          (гр.9+гр.10)   ( руб.)</t>
  </si>
  <si>
    <t>НДС   (руб.)</t>
  </si>
  <si>
    <t>Итого расходы с НДС-20% (руб.)</t>
  </si>
  <si>
    <t>Стоимость на 1 кв.м. общей площади квартир в месяц (руб./кв.м.)</t>
  </si>
  <si>
    <t xml:space="preserve"> УБОРКА ПРИДОМОВОЙ ТЕРРИТОРИИ</t>
  </si>
  <si>
    <t>Х</t>
  </si>
  <si>
    <t>1 класс</t>
  </si>
  <si>
    <t>2 класс</t>
  </si>
  <si>
    <t>3 класс</t>
  </si>
  <si>
    <t>ИТОГО</t>
  </si>
  <si>
    <t>УБОРКА МЕСТ ОБЩЕГО ПОЛЬЗОВАНИЯ (л/клетки)</t>
  </si>
  <si>
    <t>Подметание полов во всех помещениях общего пользования. Влажная уборка мест общего пользования, мытье окон.(в соответствии с переодичностью выполняемых работ)</t>
  </si>
  <si>
    <t>УБОРКА МУСОРОПРОВОДА</t>
  </si>
  <si>
    <t>ВСЕГО СОДЕРЖАНИЕ ЖИЛЬЯ</t>
  </si>
  <si>
    <t>Дератизация</t>
  </si>
  <si>
    <t>12 мес</t>
  </si>
  <si>
    <t>Дезинсекция</t>
  </si>
  <si>
    <t>1 раз в год</t>
  </si>
  <si>
    <t>ФЗП               (руб.)</t>
  </si>
  <si>
    <t>общеэксплуатац расходы</t>
  </si>
  <si>
    <t xml:space="preserve"> Итого расходов            (гр.9+гр.10)   ( руб.)</t>
  </si>
  <si>
    <t>Итого расходы с НДС-18% (руб.)</t>
  </si>
  <si>
    <t>ВСЕГО УСЛУГИ СДВК</t>
  </si>
  <si>
    <t>ТЕКУЩИЙ РЕМОНТ:</t>
  </si>
  <si>
    <t xml:space="preserve"> Итого расходов              (гр.9+гр.10)   ( руб.)</t>
  </si>
  <si>
    <t>Дополнительные работы по текущему ремонту</t>
  </si>
  <si>
    <t>ОБЯЗАТЕЛЬНЫЕ РАБОТЫ</t>
  </si>
  <si>
    <t>Проведение технических осмотров и устранение незначительных неисправностей в системах водопровода и канализации, теплоснабжения, электротехнических устройств</t>
  </si>
  <si>
    <t>Осмотр водопровода, канализации и горячего водоснабжения</t>
  </si>
  <si>
    <t>2 раза в год</t>
  </si>
  <si>
    <t>Прочистка канализационного лежака</t>
  </si>
  <si>
    <t>Проверка исправности канализационных вытяжек</t>
  </si>
  <si>
    <t>Проведение технических осмотров и устранение незначительных неисправностей в системах электротехнических устройств</t>
  </si>
  <si>
    <t>Осмотр электросети, арматура, электрооборудование на лестничных клетках</t>
  </si>
  <si>
    <t>Осмотр силовых установок</t>
  </si>
  <si>
    <t>Проверка изоляции электропроводки и ее укрепление.</t>
  </si>
  <si>
    <t>Проверка заземления оболочки электрокабеля</t>
  </si>
  <si>
    <t>Замеры сопротивления изоляции проводов</t>
  </si>
  <si>
    <t>Осмотр системы центрального отопления</t>
  </si>
  <si>
    <t>Осмотр внутриквартирных устройств системы центрального отопления</t>
  </si>
  <si>
    <t>Осмотр устройства системы центрального отопления в чердачных и подвальных помещениях</t>
  </si>
  <si>
    <t>Регулировка и наладка систем отопления</t>
  </si>
  <si>
    <t>ВСЕГО</t>
  </si>
  <si>
    <t>Подготовка многоквартирного дома к сезонной эксплуатации</t>
  </si>
  <si>
    <t>Укрепление водосточных труб, колен и воронок</t>
  </si>
  <si>
    <t>По мере необходимости</t>
  </si>
  <si>
    <t>Ремонт просевшей отмостки</t>
  </si>
  <si>
    <t>По мере необходимости на основе дефектных ведомостей</t>
  </si>
  <si>
    <t>Замена разбитых стекол окон и дверей в помещениях общего пользования</t>
  </si>
  <si>
    <t>Ремонт и укрепление входных дверей</t>
  </si>
  <si>
    <t xml:space="preserve"> Регулировка системы центрального отопления</t>
  </si>
  <si>
    <t>Промывка системы центрального отопления</t>
  </si>
  <si>
    <t>Испытание системы центрального отопления</t>
  </si>
  <si>
    <t>Расконсервация системы центрального отопления</t>
  </si>
  <si>
    <t>Проверка состояния и ремонт продухов</t>
  </si>
  <si>
    <t>ПРОВЕРКА И РЕМОНТ КОЛЛЕКТИВНЫХ ПРИБОРОВ УЧЕТА</t>
  </si>
  <si>
    <t>Обслуживание узлов учета холодной воды</t>
  </si>
  <si>
    <t>Обслуживание узлов учета горячей воды тепловой энергии</t>
  </si>
  <si>
    <t>АВАРИЙНОЕ ОБСЛУЖИВАНИЕ</t>
  </si>
  <si>
    <t>РАСХОДЫ по УПРАВЛЕНИЮ</t>
  </si>
  <si>
    <t>УСЛУГИ СПЕЦИАЛИЗИРОВАННЫХ ОРГАНИЗАЦИЙ:</t>
  </si>
  <si>
    <t>Обслуживание лифтов</t>
  </si>
  <si>
    <t>Обслуживание газового оборудования</t>
  </si>
  <si>
    <t>Периодическое техническое освидететельствование лифтов</t>
  </si>
  <si>
    <t>Обследование лифтов отработавших назначенный срок службы</t>
  </si>
  <si>
    <t>Ионкина И.А.</t>
  </si>
  <si>
    <t>Обслуживане газового оборудования</t>
  </si>
  <si>
    <t xml:space="preserve">ФЗП </t>
  </si>
  <si>
    <t xml:space="preserve"> Итого расходов             (гр.9+гр.10)   ( руб.)</t>
  </si>
  <si>
    <t xml:space="preserve"> Итого расходов                  (гр.9+гр.10)   ( руб.)</t>
  </si>
  <si>
    <t>Дпоплнительные работы по текущему ремонту</t>
  </si>
  <si>
    <t xml:space="preserve">ФЗП  </t>
  </si>
  <si>
    <t>Страховые взносы                 ( руб.)</t>
  </si>
  <si>
    <t xml:space="preserve"> Итого расходы              (гр.9+гр.10)   ( руб.)</t>
  </si>
  <si>
    <t xml:space="preserve"> Итого расходы             (гр.9+гр.10)   ( руб.)</t>
  </si>
  <si>
    <t xml:space="preserve"> Итого расходы                 (гр.9+гр.10)   ( руб.)</t>
  </si>
  <si>
    <t>Аварийное обслуживание</t>
  </si>
  <si>
    <t xml:space="preserve"> Итого расходы               (гр.9+гр.10)   ( руб.)</t>
  </si>
  <si>
    <t>Итого текущий ремонт</t>
  </si>
  <si>
    <t>ФОТ</t>
  </si>
  <si>
    <t>Начальник отдела цен и тарифов                                                                    И.И. Маслов</t>
  </si>
  <si>
    <t>Начальник отдела цен и тарифов                                                                        И.И. Маслов</t>
  </si>
  <si>
    <t>Начальник отдела цен и тарифов                                                            И.И. Маслов</t>
  </si>
  <si>
    <r>
      <rPr>
        <b/>
        <u/>
        <sz val="11"/>
        <rFont val="Times New Roman"/>
        <family val="1"/>
        <charset val="204"/>
      </rPr>
      <t xml:space="preserve">ГАЗОН </t>
    </r>
    <r>
      <rPr>
        <sz val="11"/>
        <rFont val="Times New Roman"/>
        <family val="1"/>
        <charset val="204"/>
      </rPr>
      <t xml:space="preserve">  Уборка  листвы и сучьев с газона, уборка мусора с газона</t>
    </r>
  </si>
  <si>
    <t xml:space="preserve"> МКД с газовыми плитами (с лифтом и без мусоропровода)</t>
  </si>
  <si>
    <r>
      <rPr>
        <b/>
        <sz val="11"/>
        <rFont val="Times New Roman"/>
        <family val="1"/>
        <charset val="204"/>
      </rPr>
      <t xml:space="preserve">ГАЗОН </t>
    </r>
    <r>
      <rPr>
        <sz val="11"/>
        <rFont val="Times New Roman"/>
        <family val="1"/>
        <charset val="204"/>
      </rPr>
      <t xml:space="preserve">  Уборка  листвы и сучьев с газона, уборка мусора с газона</t>
    </r>
  </si>
  <si>
    <t>МКД с газовыми плитами (без одного и более видов благоустройства или с износом 60% и более)</t>
  </si>
  <si>
    <t>МКД с электрическими плитами (с лифтом и без мусоропровода)</t>
  </si>
  <si>
    <t>Ветхие многоквартирные дома с газовыми плитами</t>
  </si>
  <si>
    <t>Ветхие многоквартирные дома с электрическими плитами</t>
  </si>
  <si>
    <t>для нанимателей помещений государственного или муниципального жилищного фонда</t>
  </si>
  <si>
    <t xml:space="preserve"> МКД с электр. плитами (без одного и более видов благоустройства или с износом 60% и более)</t>
  </si>
  <si>
    <t>Цена на содержание жилых помещений на 2024 год</t>
  </si>
  <si>
    <r>
      <rPr>
        <b/>
        <sz val="11"/>
        <rFont val="Times New Roman"/>
        <family val="1"/>
        <charset val="204"/>
      </rPr>
      <t xml:space="preserve"> АСФАЛЬТ </t>
    </r>
    <r>
      <rPr>
        <sz val="11"/>
        <rFont val="Times New Roman"/>
        <family val="1"/>
        <charset val="204"/>
      </rPr>
      <t>Подметание земельного участка в весенне-осенний период, сдвижка и подметание снега при снегопаде, посыпка территории песком во время гололеда.</t>
    </r>
  </si>
  <si>
    <r>
      <rPr>
        <b/>
        <sz val="11"/>
        <rFont val="Times New Roman"/>
        <family val="1"/>
        <charset val="204"/>
      </rPr>
      <t xml:space="preserve">Детская площадка </t>
    </r>
    <r>
      <rPr>
        <sz val="11"/>
        <rFont val="Times New Roman"/>
        <family val="1"/>
        <charset val="204"/>
      </rPr>
      <t>Подметание земельного участка в весенне-осенний период, сдвижка и подметание снега при снегопаде, посыпка территории песком во время гололеда.</t>
    </r>
  </si>
  <si>
    <r>
      <rPr>
        <b/>
        <sz val="11"/>
        <rFont val="Times New Roman"/>
        <family val="1"/>
        <charset val="204"/>
      </rPr>
      <t xml:space="preserve">Детская Площадка   </t>
    </r>
    <r>
      <rPr>
        <sz val="11"/>
        <rFont val="Times New Roman"/>
        <family val="1"/>
        <charset val="204"/>
      </rPr>
      <t>Подметание земельного участка в весенне-осенний период, сдвижка и подметание снега при снегопаде, посыпка территории песком во время гололеда.</t>
    </r>
  </si>
  <si>
    <r>
      <rPr>
        <b/>
        <sz val="11"/>
        <rFont val="Times New Roman"/>
        <family val="1"/>
        <charset val="204"/>
      </rPr>
      <t xml:space="preserve">Детская площадка    </t>
    </r>
    <r>
      <rPr>
        <sz val="11"/>
        <rFont val="Times New Roman"/>
        <family val="1"/>
        <charset val="204"/>
      </rPr>
      <t>Подметание земельного участка в весенне-осенний период, сдвижка и подметание снега при снегопаде, посыпка территории песком во время гололеда.</t>
    </r>
  </si>
  <si>
    <r>
      <rPr>
        <b/>
        <u/>
        <sz val="11"/>
        <rFont val="Times New Roman"/>
        <family val="1"/>
        <charset val="204"/>
      </rPr>
      <t>Детская площадка</t>
    </r>
    <r>
      <rPr>
        <sz val="11"/>
        <rFont val="Times New Roman"/>
        <family val="1"/>
        <charset val="204"/>
      </rPr>
      <t>Подметание в весенне-осенний период, сдвижка и подметание снега при снегопаде, посыпка территории песком во время гололеда.</t>
    </r>
  </si>
  <si>
    <r>
      <rPr>
        <b/>
        <u/>
        <sz val="11"/>
        <rFont val="Times New Roman"/>
        <family val="1"/>
        <charset val="204"/>
      </rPr>
      <t xml:space="preserve"> АСФАЛЬТ </t>
    </r>
    <r>
      <rPr>
        <sz val="11"/>
        <rFont val="Times New Roman"/>
        <family val="1"/>
        <charset val="204"/>
      </rPr>
      <t>Подметание земельного участка в весенне-осенний период, сдвижка и подметание снега при снегопаде, посыпка территории песком во время гололеда.</t>
    </r>
  </si>
  <si>
    <r>
      <rPr>
        <b/>
        <sz val="11"/>
        <rFont val="Times New Roman"/>
        <family val="1"/>
        <charset val="204"/>
      </rPr>
      <t xml:space="preserve">Детская площадка: </t>
    </r>
    <r>
      <rPr>
        <sz val="11"/>
        <rFont val="Times New Roman"/>
        <family val="1"/>
        <charset val="204"/>
      </rPr>
      <t>Подметание в весенне-осенний период, сдвижка и подметание снега при снегопаде, посыпка территории песком во время гололеда.</t>
    </r>
  </si>
  <si>
    <t>Осмотр водопровода и  канализации</t>
  </si>
  <si>
    <t>Проверка вентканалов 1 раз в год</t>
  </si>
  <si>
    <t xml:space="preserve">Проверка дымоходов 4 раза в год   </t>
  </si>
  <si>
    <t>Проверка дымоходов 4 раза в год</t>
  </si>
  <si>
    <t>МКД  с газовыми плитами (без лифта и мусоропровода, с централизованным ГВС)</t>
  </si>
  <si>
    <t xml:space="preserve">Проверка дымоходов 4 раза в год  </t>
  </si>
  <si>
    <t>МКД  с газовыми плитами  (без лифта и мусоропровода, без централизованного ГВС)</t>
  </si>
  <si>
    <t>МКД  с электрическими плитами (без лифта и мусоропровода)</t>
  </si>
  <si>
    <t>МКД с газовыми плитами (с лифтом и мусоропроводом)</t>
  </si>
  <si>
    <t>МКД с электрическими плитами (с лифтом и мусоропроводом)</t>
  </si>
  <si>
    <t>Цена на содержание жилых помещений  на 1 м² общей площади квартир в месяц (руб./м²), с НДС</t>
  </si>
  <si>
    <t>Цена на содержание и текущий ремонт на 1 м² общей площади квартир в месяц (руб./м²), с НДС</t>
  </si>
  <si>
    <t>Цена на содержание и текущий ремонт на 1 м²  общей площади квартир в месяц (руб./ м² ), с НДС</t>
  </si>
  <si>
    <t>Цена на содержание и текущий ремонт на 1м²  общей площади квартир в месяц (руб./м² ), с НДС</t>
  </si>
  <si>
    <t>Стоимость             на 1 м² общей площади квартир в месяц (руб./м²), с НДС</t>
  </si>
  <si>
    <t>Стоимость на 1 м² общей площади квартир в месяц (руб./м²), с НДС</t>
  </si>
  <si>
    <t>Стоимость            на 1 м². общей площади квартир в месяц (руб./м²), с НДС</t>
  </si>
  <si>
    <t>Стоимость            на 1 м² общей площади квартир в месяц (руб./м²), с НДС</t>
  </si>
  <si>
    <t>Стоимость              на 1 м² общей площади квартир в месяц (руб./м²), с НДС</t>
  </si>
  <si>
    <t>Стоимость                     на 1 м². общей площади квартир в месяц               (руб./м²), с НДС</t>
  </si>
  <si>
    <t>Стоимость          на 1 м² общей площади квартир в месяц (руб./м²), с НДС</t>
  </si>
  <si>
    <t>Стоимость на 1  м²  общей площади квартир в месяц (руб./ м² .), с НДС</t>
  </si>
  <si>
    <t>Стоимость на 1  м²  общей площади квартир в месяц (руб./ м² ), с НДС</t>
  </si>
  <si>
    <t>Стоимость         на 1 м² общей площади квартир в месяц (руб./м²), с НДС</t>
  </si>
  <si>
    <t>Стоимость         на 1 м²  общей площади квартир в месяц (руб./м² ),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</si>
</sst>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0.0%"/>
    <numFmt numFmtId="166" formatCode="0.000"/>
    <numFmt numFmtId="167" formatCode="_-* #,##0.00\ &quot;р.&quot;_-;_-* \-#,##0.00\ &quot;р.&quot;;_-* &quot;-&quot;??\ &quot;р.&quot;_-;_-@_-"/>
    <numFmt numFmtId="168" formatCode="0.0"/>
    <numFmt numFmtId="169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gency FB"/>
      <family val="2"/>
    </font>
    <font>
      <sz val="11"/>
      <color rgb="FF3F3F76"/>
      <name val="Agency FB"/>
      <family val="2"/>
    </font>
    <font>
      <b/>
      <sz val="11"/>
      <color rgb="FFFA7D00"/>
      <name val="Agency FB"/>
      <family val="2"/>
    </font>
    <font>
      <sz val="10"/>
      <name val="Calibri"/>
      <family val="1"/>
      <scheme val="minor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4" fontId="4" fillId="0" borderId="0" applyFill="0" applyBorder="0" applyAlignment="0" applyProtection="0"/>
    <xf numFmtId="0" fontId="5" fillId="4" borderId="0" applyNumberFormat="0" applyBorder="0" applyAlignment="0" applyProtection="0"/>
    <xf numFmtId="0" fontId="6" fillId="2" borderId="1" applyNumberFormat="0" applyAlignment="0" applyProtection="0"/>
    <xf numFmtId="0" fontId="7" fillId="3" borderId="1" applyNumberFormat="0" applyAlignment="0" applyProtection="0"/>
    <xf numFmtId="167" fontId="4" fillId="0" borderId="0" applyFont="0" applyFill="0" applyBorder="0" applyAlignment="0" applyProtection="0"/>
    <xf numFmtId="0" fontId="8" fillId="0" borderId="0"/>
    <xf numFmtId="164" fontId="1" fillId="0" borderId="0" applyFont="0" applyFill="0" applyBorder="0" applyAlignment="0" applyProtection="0"/>
    <xf numFmtId="164" fontId="4" fillId="0" borderId="0" applyFill="0" applyBorder="0" applyAlignment="0" applyProtection="0"/>
    <xf numFmtId="164" fontId="1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1"/>
    <xf numFmtId="2" fontId="3" fillId="0" borderId="0" xfId="1" applyNumberFormat="1" applyFont="1" applyFill="1"/>
    <xf numFmtId="0" fontId="1" fillId="0" borderId="0" xfId="1" applyBorder="1"/>
    <xf numFmtId="2" fontId="1" fillId="0" borderId="0" xfId="1" applyNumberFormat="1"/>
    <xf numFmtId="0" fontId="3" fillId="0" borderId="0" xfId="1" applyFont="1"/>
    <xf numFmtId="166" fontId="3" fillId="0" borderId="0" xfId="1" applyNumberFormat="1" applyFont="1"/>
    <xf numFmtId="2" fontId="2" fillId="0" borderId="0" xfId="1" applyNumberFormat="1" applyFont="1" applyFill="1"/>
    <xf numFmtId="166" fontId="1" fillId="0" borderId="0" xfId="1" applyNumberFormat="1"/>
    <xf numFmtId="0" fontId="9" fillId="0" borderId="0" xfId="1" applyFont="1"/>
    <xf numFmtId="0" fontId="1" fillId="0" borderId="0" xfId="1" applyFont="1"/>
    <xf numFmtId="0" fontId="10" fillId="0" borderId="0" xfId="1" applyFont="1"/>
    <xf numFmtId="168" fontId="3" fillId="0" borderId="0" xfId="1" applyNumberFormat="1" applyFont="1" applyFill="1"/>
    <xf numFmtId="1" fontId="3" fillId="0" borderId="0" xfId="1" applyNumberFormat="1" applyFont="1" applyFill="1"/>
    <xf numFmtId="2" fontId="11" fillId="0" borderId="0" xfId="1" applyNumberFormat="1" applyFont="1" applyFill="1"/>
    <xf numFmtId="2" fontId="11" fillId="0" borderId="0" xfId="1" applyNumberFormat="1" applyFont="1" applyFill="1" applyBorder="1" applyAlignment="1">
      <alignment horizontal="center"/>
    </xf>
    <xf numFmtId="2" fontId="12" fillId="0" borderId="0" xfId="1" applyNumberFormat="1" applyFont="1" applyFill="1"/>
    <xf numFmtId="2" fontId="11" fillId="0" borderId="0" xfId="1" applyNumberFormat="1" applyFont="1" applyFill="1" applyBorder="1" applyAlignment="1"/>
    <xf numFmtId="2" fontId="12" fillId="0" borderId="8" xfId="2" applyNumberFormat="1" applyFont="1" applyFill="1" applyBorder="1" applyAlignment="1">
      <alignment horizontal="center" vertical="top" wrapText="1"/>
    </xf>
    <xf numFmtId="10" fontId="12" fillId="0" borderId="8" xfId="1" applyNumberFormat="1" applyFont="1" applyFill="1" applyBorder="1" applyAlignment="1">
      <alignment horizontal="center" vertical="top" wrapText="1"/>
    </xf>
    <xf numFmtId="10" fontId="12" fillId="0" borderId="8" xfId="1" applyNumberFormat="1" applyFont="1" applyFill="1" applyBorder="1" applyAlignment="1">
      <alignment horizontal="center" vertical="center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2" fillId="0" borderId="7" xfId="1" applyNumberFormat="1" applyFont="1" applyFill="1" applyBorder="1" applyAlignment="1">
      <alignment horizontal="center" vertical="center" wrapText="1"/>
    </xf>
    <xf numFmtId="9" fontId="12" fillId="0" borderId="7" xfId="1" applyNumberFormat="1" applyFont="1" applyFill="1" applyBorder="1" applyAlignment="1">
      <alignment horizontal="center" vertical="center" wrapText="1"/>
    </xf>
    <xf numFmtId="0" fontId="11" fillId="0" borderId="9" xfId="1" applyNumberFormat="1" applyFont="1" applyFill="1" applyBorder="1" applyAlignment="1">
      <alignment horizontal="center"/>
    </xf>
    <xf numFmtId="0" fontId="12" fillId="0" borderId="14" xfId="1" applyFont="1" applyBorder="1"/>
    <xf numFmtId="2" fontId="12" fillId="0" borderId="2" xfId="1" applyNumberFormat="1" applyFont="1" applyFill="1" applyBorder="1" applyAlignment="1">
      <alignment horizontal="left" vertical="top" wrapText="1"/>
    </xf>
    <xf numFmtId="2" fontId="12" fillId="0" borderId="2" xfId="1" applyNumberFormat="1" applyFont="1" applyFill="1" applyBorder="1" applyAlignment="1">
      <alignment horizontal="center" vertical="center" wrapText="1"/>
    </xf>
    <xf numFmtId="2" fontId="12" fillId="0" borderId="2" xfId="1" applyNumberFormat="1" applyFont="1" applyFill="1" applyBorder="1" applyAlignment="1">
      <alignment vertical="top" wrapText="1"/>
    </xf>
    <xf numFmtId="1" fontId="12" fillId="0" borderId="2" xfId="1" applyNumberFormat="1" applyFont="1" applyFill="1" applyBorder="1" applyAlignment="1">
      <alignment horizontal="center"/>
    </xf>
    <xf numFmtId="2" fontId="12" fillId="0" borderId="2" xfId="2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/>
    </xf>
    <xf numFmtId="2" fontId="11" fillId="0" borderId="2" xfId="1" applyNumberFormat="1" applyFont="1" applyFill="1" applyBorder="1" applyAlignment="1">
      <alignment horizontal="center"/>
    </xf>
    <xf numFmtId="2" fontId="11" fillId="0" borderId="2" xfId="1" applyNumberFormat="1" applyFont="1" applyFill="1" applyBorder="1" applyAlignment="1">
      <alignment wrapText="1"/>
    </xf>
    <xf numFmtId="0" fontId="12" fillId="0" borderId="16" xfId="1" applyFont="1" applyBorder="1"/>
    <xf numFmtId="2" fontId="11" fillId="0" borderId="2" xfId="2" applyNumberFormat="1" applyFont="1" applyFill="1" applyBorder="1" applyAlignment="1">
      <alignment horizontal="center"/>
    </xf>
    <xf numFmtId="2" fontId="11" fillId="0" borderId="2" xfId="1" applyNumberFormat="1" applyFont="1" applyFill="1" applyBorder="1"/>
    <xf numFmtId="2" fontId="12" fillId="0" borderId="2" xfId="1" applyNumberFormat="1" applyFont="1" applyFill="1" applyBorder="1" applyAlignment="1">
      <alignment horizontal="center" wrapText="1"/>
    </xf>
    <xf numFmtId="1" fontId="11" fillId="0" borderId="2" xfId="1" applyNumberFormat="1" applyFont="1" applyFill="1" applyBorder="1"/>
    <xf numFmtId="2" fontId="11" fillId="0" borderId="0" xfId="1" applyNumberFormat="1" applyFont="1" applyFill="1" applyBorder="1" applyAlignment="1">
      <alignment wrapText="1"/>
    </xf>
    <xf numFmtId="2" fontId="11" fillId="0" borderId="0" xfId="1" applyNumberFormat="1" applyFont="1" applyFill="1" applyBorder="1"/>
    <xf numFmtId="2" fontId="11" fillId="0" borderId="0" xfId="2" applyNumberFormat="1" applyFont="1" applyFill="1" applyBorder="1" applyAlignment="1">
      <alignment horizontal="center"/>
    </xf>
    <xf numFmtId="2" fontId="11" fillId="0" borderId="16" xfId="2" applyNumberFormat="1" applyFont="1" applyFill="1" applyBorder="1" applyAlignment="1">
      <alignment horizontal="center"/>
    </xf>
    <xf numFmtId="2" fontId="12" fillId="0" borderId="7" xfId="2" applyNumberFormat="1" applyFont="1" applyFill="1" applyBorder="1" applyAlignment="1">
      <alignment horizontal="center" vertical="top" wrapText="1"/>
    </xf>
    <xf numFmtId="10" fontId="12" fillId="0" borderId="7" xfId="1" applyNumberFormat="1" applyFont="1" applyFill="1" applyBorder="1" applyAlignment="1">
      <alignment horizontal="center" vertical="top" wrapText="1"/>
    </xf>
    <xf numFmtId="165" fontId="12" fillId="0" borderId="7" xfId="1" applyNumberFormat="1" applyFont="1" applyFill="1" applyBorder="1" applyAlignment="1">
      <alignment horizontal="center" vertical="center"/>
    </xf>
    <xf numFmtId="0" fontId="11" fillId="0" borderId="2" xfId="1" applyNumberFormat="1" applyFont="1" applyFill="1" applyBorder="1" applyAlignment="1">
      <alignment horizontal="center"/>
    </xf>
    <xf numFmtId="0" fontId="11" fillId="0" borderId="7" xfId="1" applyNumberFormat="1" applyFont="1" applyFill="1" applyBorder="1" applyAlignment="1">
      <alignment horizontal="center"/>
    </xf>
    <xf numFmtId="0" fontId="12" fillId="0" borderId="2" xfId="1" applyNumberFormat="1" applyFont="1" applyFill="1" applyBorder="1" applyAlignment="1">
      <alignment horizontal="center"/>
    </xf>
    <xf numFmtId="2" fontId="11" fillId="0" borderId="2" xfId="1" applyNumberFormat="1" applyFont="1" applyFill="1" applyBorder="1" applyAlignment="1">
      <alignment horizontal="center" wrapText="1"/>
    </xf>
    <xf numFmtId="165" fontId="12" fillId="0" borderId="8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left" wrapText="1"/>
    </xf>
    <xf numFmtId="2" fontId="12" fillId="0" borderId="3" xfId="1" applyNumberFormat="1" applyFont="1" applyFill="1" applyBorder="1" applyAlignment="1">
      <alignment horizontal="center"/>
    </xf>
    <xf numFmtId="2" fontId="11" fillId="0" borderId="3" xfId="1" applyNumberFormat="1" applyFont="1" applyFill="1" applyBorder="1" applyAlignment="1">
      <alignment horizontal="center"/>
    </xf>
    <xf numFmtId="0" fontId="12" fillId="0" borderId="2" xfId="1" applyFont="1" applyBorder="1"/>
    <xf numFmtId="2" fontId="12" fillId="0" borderId="2" xfId="1" applyNumberFormat="1" applyFont="1" applyFill="1" applyBorder="1" applyAlignment="1">
      <alignment wrapText="1"/>
    </xf>
    <xf numFmtId="166" fontId="12" fillId="0" borderId="2" xfId="1" applyNumberFormat="1" applyFont="1" applyFill="1" applyBorder="1" applyAlignment="1">
      <alignment horizontal="center"/>
    </xf>
    <xf numFmtId="166" fontId="11" fillId="0" borderId="2" xfId="1" applyNumberFormat="1" applyFont="1" applyFill="1" applyBorder="1" applyAlignment="1">
      <alignment horizontal="center" wrapText="1"/>
    </xf>
    <xf numFmtId="0" fontId="12" fillId="0" borderId="2" xfId="1" applyFont="1" applyBorder="1" applyAlignment="1">
      <alignment wrapText="1"/>
    </xf>
    <xf numFmtId="166" fontId="12" fillId="0" borderId="2" xfId="1" applyNumberFormat="1" applyFont="1" applyFill="1" applyBorder="1" applyAlignment="1">
      <alignment wrapText="1"/>
    </xf>
    <xf numFmtId="0" fontId="11" fillId="0" borderId="2" xfId="1" applyFont="1" applyBorder="1" applyAlignment="1">
      <alignment wrapText="1"/>
    </xf>
    <xf numFmtId="2" fontId="11" fillId="0" borderId="2" xfId="1" applyNumberFormat="1" applyFont="1" applyBorder="1" applyAlignment="1">
      <alignment wrapText="1"/>
    </xf>
    <xf numFmtId="166" fontId="11" fillId="0" borderId="3" xfId="1" applyNumberFormat="1" applyFont="1" applyFill="1" applyBorder="1" applyAlignment="1">
      <alignment horizontal="center"/>
    </xf>
    <xf numFmtId="0" fontId="12" fillId="0" borderId="2" xfId="1" applyFont="1" applyBorder="1" applyAlignment="1">
      <alignment horizontal="left" vertical="center" wrapText="1"/>
    </xf>
    <xf numFmtId="0" fontId="12" fillId="0" borderId="13" xfId="1" applyFont="1" applyBorder="1" applyAlignment="1">
      <alignment vertical="top" wrapText="1"/>
    </xf>
    <xf numFmtId="166" fontId="11" fillId="0" borderId="2" xfId="1" applyNumberFormat="1" applyFont="1" applyFill="1" applyBorder="1" applyAlignment="1">
      <alignment wrapText="1"/>
    </xf>
    <xf numFmtId="2" fontId="12" fillId="0" borderId="2" xfId="1" applyNumberFormat="1" applyFont="1" applyFill="1" applyBorder="1" applyAlignment="1"/>
    <xf numFmtId="2" fontId="11" fillId="0" borderId="16" xfId="1" applyNumberFormat="1" applyFont="1" applyFill="1" applyBorder="1" applyAlignment="1">
      <alignment horizontal="center"/>
    </xf>
    <xf numFmtId="166" fontId="12" fillId="0" borderId="3" xfId="1" applyNumberFormat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left"/>
    </xf>
    <xf numFmtId="2" fontId="12" fillId="0" borderId="8" xfId="8" applyNumberFormat="1" applyFont="1" applyFill="1" applyBorder="1" applyAlignment="1">
      <alignment horizontal="center" vertical="top" wrapText="1"/>
    </xf>
    <xf numFmtId="0" fontId="12" fillId="0" borderId="9" xfId="1" applyFont="1" applyBorder="1"/>
    <xf numFmtId="2" fontId="12" fillId="0" borderId="2" xfId="8" applyNumberFormat="1" applyFont="1" applyFill="1" applyBorder="1" applyAlignment="1">
      <alignment horizontal="center"/>
    </xf>
    <xf numFmtId="2" fontId="11" fillId="0" borderId="2" xfId="8" applyNumberFormat="1" applyFont="1" applyFill="1" applyBorder="1" applyAlignment="1">
      <alignment horizontal="center"/>
    </xf>
    <xf numFmtId="2" fontId="12" fillId="0" borderId="2" xfId="9" applyNumberFormat="1" applyFont="1" applyFill="1" applyBorder="1" applyAlignment="1">
      <alignment horizontal="center"/>
    </xf>
    <xf numFmtId="2" fontId="11" fillId="0" borderId="2" xfId="9" applyNumberFormat="1" applyFont="1" applyFill="1" applyBorder="1" applyAlignment="1">
      <alignment horizontal="center"/>
    </xf>
    <xf numFmtId="2" fontId="11" fillId="0" borderId="0" xfId="8" applyNumberFormat="1" applyFont="1" applyFill="1" applyBorder="1" applyAlignment="1">
      <alignment horizontal="center"/>
    </xf>
    <xf numFmtId="2" fontId="11" fillId="0" borderId="16" xfId="8" applyNumberFormat="1" applyFont="1" applyFill="1" applyBorder="1" applyAlignment="1">
      <alignment horizontal="center"/>
    </xf>
    <xf numFmtId="2" fontId="12" fillId="0" borderId="7" xfId="8" applyNumberFormat="1" applyFont="1" applyFill="1" applyBorder="1" applyAlignment="1">
      <alignment horizontal="center" vertical="top" wrapText="1"/>
    </xf>
    <xf numFmtId="2" fontId="12" fillId="0" borderId="0" xfId="1" applyNumberFormat="1" applyFont="1" applyFill="1" applyBorder="1"/>
    <xf numFmtId="2" fontId="11" fillId="0" borderId="0" xfId="1" applyNumberFormat="1" applyFont="1" applyFill="1" applyAlignment="1"/>
    <xf numFmtId="0" fontId="12" fillId="0" borderId="0" xfId="1" applyFont="1"/>
    <xf numFmtId="168" fontId="11" fillId="0" borderId="0" xfId="1" applyNumberFormat="1" applyFont="1" applyFill="1" applyBorder="1" applyAlignment="1">
      <alignment horizontal="center"/>
    </xf>
    <xf numFmtId="1" fontId="11" fillId="0" borderId="0" xfId="1" applyNumberFormat="1" applyFont="1" applyFill="1" applyBorder="1" applyAlignment="1">
      <alignment horizontal="center"/>
    </xf>
    <xf numFmtId="168" fontId="12" fillId="0" borderId="8" xfId="2" applyNumberFormat="1" applyFont="1" applyFill="1" applyBorder="1" applyAlignment="1">
      <alignment horizontal="center" vertical="top" wrapText="1"/>
    </xf>
    <xf numFmtId="10" fontId="12" fillId="0" borderId="7" xfId="1" applyNumberFormat="1" applyFont="1" applyFill="1" applyBorder="1" applyAlignment="1">
      <alignment horizontal="center" vertical="center" wrapText="1"/>
    </xf>
    <xf numFmtId="168" fontId="11" fillId="0" borderId="9" xfId="1" applyNumberFormat="1" applyFont="1" applyFill="1" applyBorder="1" applyAlignment="1">
      <alignment horizontal="center"/>
    </xf>
    <xf numFmtId="1" fontId="11" fillId="0" borderId="9" xfId="1" applyNumberFormat="1" applyFont="1" applyFill="1" applyBorder="1" applyAlignment="1">
      <alignment horizontal="center"/>
    </xf>
    <xf numFmtId="168" fontId="12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68" fontId="12" fillId="0" borderId="2" xfId="2" applyNumberFormat="1" applyFont="1" applyFill="1" applyBorder="1" applyAlignment="1">
      <alignment horizontal="center"/>
    </xf>
    <xf numFmtId="1" fontId="11" fillId="0" borderId="2" xfId="1" applyNumberFormat="1" applyFont="1" applyFill="1" applyBorder="1" applyAlignment="1">
      <alignment horizontal="center"/>
    </xf>
    <xf numFmtId="168" fontId="11" fillId="0" borderId="2" xfId="2" applyNumberFormat="1" applyFont="1" applyFill="1" applyBorder="1" applyAlignment="1">
      <alignment horizontal="center"/>
    </xf>
    <xf numFmtId="1" fontId="11" fillId="0" borderId="2" xfId="2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>
      <alignment horizontal="center"/>
    </xf>
    <xf numFmtId="1" fontId="12" fillId="0" borderId="2" xfId="9" applyNumberFormat="1" applyFont="1" applyFill="1" applyBorder="1" applyAlignment="1">
      <alignment horizontal="center"/>
    </xf>
    <xf numFmtId="168" fontId="11" fillId="0" borderId="0" xfId="2" applyNumberFormat="1" applyFont="1" applyFill="1" applyBorder="1" applyAlignment="1">
      <alignment horizontal="center"/>
    </xf>
    <xf numFmtId="1" fontId="11" fillId="0" borderId="0" xfId="2" applyNumberFormat="1" applyFont="1" applyFill="1" applyBorder="1" applyAlignment="1">
      <alignment horizontal="center"/>
    </xf>
    <xf numFmtId="168" fontId="12" fillId="0" borderId="7" xfId="2" applyNumberFormat="1" applyFont="1" applyFill="1" applyBorder="1" applyAlignment="1">
      <alignment horizontal="center" vertical="top" wrapText="1"/>
    </xf>
    <xf numFmtId="1" fontId="12" fillId="0" borderId="7" xfId="1" applyNumberFormat="1" applyFont="1" applyFill="1" applyBorder="1" applyAlignment="1">
      <alignment horizontal="center" vertical="center" wrapText="1"/>
    </xf>
    <xf numFmtId="168" fontId="11" fillId="0" borderId="2" xfId="1" applyNumberFormat="1" applyFont="1" applyFill="1" applyBorder="1" applyAlignment="1">
      <alignment horizontal="center"/>
    </xf>
    <xf numFmtId="1" fontId="11" fillId="0" borderId="7" xfId="1" applyNumberFormat="1" applyFont="1" applyFill="1" applyBorder="1" applyAlignment="1">
      <alignment horizontal="center"/>
    </xf>
    <xf numFmtId="168" fontId="11" fillId="0" borderId="2" xfId="1" applyNumberFormat="1" applyFont="1" applyFill="1" applyBorder="1" applyAlignment="1">
      <alignment wrapText="1"/>
    </xf>
    <xf numFmtId="1" fontId="11" fillId="0" borderId="2" xfId="1" applyNumberFormat="1" applyFont="1" applyFill="1" applyBorder="1" applyAlignment="1">
      <alignment wrapText="1"/>
    </xf>
    <xf numFmtId="10" fontId="12" fillId="0" borderId="8" xfId="1" applyNumberFormat="1" applyFont="1" applyFill="1" applyBorder="1" applyAlignment="1">
      <alignment horizontal="center" vertical="center" wrapText="1"/>
    </xf>
    <xf numFmtId="168" fontId="12" fillId="0" borderId="3" xfId="1" applyNumberFormat="1" applyFont="1" applyFill="1" applyBorder="1" applyAlignment="1">
      <alignment horizontal="center"/>
    </xf>
    <xf numFmtId="1" fontId="12" fillId="0" borderId="3" xfId="1" applyNumberFormat="1" applyFont="1" applyFill="1" applyBorder="1" applyAlignment="1">
      <alignment horizontal="center"/>
    </xf>
    <xf numFmtId="2" fontId="12" fillId="0" borderId="4" xfId="1" applyNumberFormat="1" applyFont="1" applyFill="1" applyBorder="1" applyAlignment="1">
      <alignment horizontal="center"/>
    </xf>
    <xf numFmtId="168" fontId="12" fillId="0" borderId="2" xfId="1" applyNumberFormat="1" applyFont="1" applyFill="1" applyBorder="1" applyAlignment="1">
      <alignment horizontal="center"/>
    </xf>
    <xf numFmtId="166" fontId="11" fillId="0" borderId="11" xfId="1" applyNumberFormat="1" applyFont="1" applyFill="1" applyBorder="1" applyAlignment="1">
      <alignment horizontal="center" wrapText="1"/>
    </xf>
    <xf numFmtId="168" fontId="11" fillId="0" borderId="2" xfId="1" applyNumberFormat="1" applyFont="1" applyFill="1" applyBorder="1" applyAlignment="1">
      <alignment horizontal="center" wrapText="1"/>
    </xf>
    <xf numFmtId="1" fontId="11" fillId="0" borderId="2" xfId="1" applyNumberFormat="1" applyFont="1" applyFill="1" applyBorder="1" applyAlignment="1">
      <alignment horizontal="center" wrapText="1"/>
    </xf>
    <xf numFmtId="2" fontId="12" fillId="0" borderId="11" xfId="1" applyNumberFormat="1" applyFont="1" applyFill="1" applyBorder="1" applyAlignment="1">
      <alignment wrapText="1"/>
    </xf>
    <xf numFmtId="2" fontId="12" fillId="0" borderId="12" xfId="1" applyNumberFormat="1" applyFont="1" applyFill="1" applyBorder="1" applyAlignment="1">
      <alignment wrapText="1"/>
    </xf>
    <xf numFmtId="168" fontId="12" fillId="0" borderId="12" xfId="1" applyNumberFormat="1" applyFont="1" applyFill="1" applyBorder="1" applyAlignment="1">
      <alignment wrapText="1"/>
    </xf>
    <xf numFmtId="1" fontId="12" fillId="0" borderId="12" xfId="1" applyNumberFormat="1" applyFont="1" applyFill="1" applyBorder="1" applyAlignment="1">
      <alignment wrapText="1"/>
    </xf>
    <xf numFmtId="168" fontId="12" fillId="0" borderId="2" xfId="1" applyNumberFormat="1" applyFont="1" applyFill="1" applyBorder="1" applyAlignment="1"/>
    <xf numFmtId="2" fontId="12" fillId="0" borderId="2" xfId="1" applyNumberFormat="1" applyFont="1" applyFill="1" applyBorder="1"/>
    <xf numFmtId="1" fontId="12" fillId="0" borderId="2" xfId="1" applyNumberFormat="1" applyFont="1" applyFill="1" applyBorder="1" applyAlignment="1"/>
    <xf numFmtId="168" fontId="12" fillId="0" borderId="0" xfId="1" applyNumberFormat="1" applyFont="1" applyFill="1"/>
    <xf numFmtId="1" fontId="12" fillId="0" borderId="0" xfId="1" applyNumberFormat="1" applyFont="1" applyFill="1"/>
    <xf numFmtId="168" fontId="11" fillId="0" borderId="0" xfId="1" applyNumberFormat="1" applyFont="1" applyFill="1"/>
    <xf numFmtId="0" fontId="12" fillId="0" borderId="9" xfId="1" applyNumberFormat="1" applyFont="1" applyFill="1" applyBorder="1" applyAlignment="1">
      <alignment horizontal="center"/>
    </xf>
    <xf numFmtId="0" fontId="12" fillId="0" borderId="2" xfId="1" applyFont="1" applyBorder="1" applyAlignment="1">
      <alignment horizontal="left" wrapText="1"/>
    </xf>
    <xf numFmtId="2" fontId="12" fillId="0" borderId="11" xfId="1" applyNumberFormat="1" applyFont="1" applyFill="1" applyBorder="1" applyAlignment="1"/>
    <xf numFmtId="2" fontId="12" fillId="0" borderId="12" xfId="1" applyNumberFormat="1" applyFont="1" applyFill="1" applyBorder="1" applyAlignment="1"/>
    <xf numFmtId="169" fontId="12" fillId="0" borderId="2" xfId="1" applyNumberFormat="1" applyFont="1" applyFill="1" applyBorder="1" applyAlignment="1">
      <alignment wrapText="1"/>
    </xf>
    <xf numFmtId="2" fontId="11" fillId="0" borderId="11" xfId="1" applyNumberFormat="1" applyFont="1" applyFill="1" applyBorder="1" applyAlignment="1">
      <alignment horizontal="center" wrapText="1"/>
    </xf>
    <xf numFmtId="2" fontId="12" fillId="0" borderId="11" xfId="1" applyNumberFormat="1" applyFont="1" applyFill="1" applyBorder="1" applyAlignment="1">
      <alignment horizontal="center" wrapText="1"/>
    </xf>
    <xf numFmtId="2" fontId="12" fillId="0" borderId="9" xfId="1" applyNumberFormat="1" applyFont="1" applyFill="1" applyBorder="1" applyAlignment="1">
      <alignment horizontal="center" wrapText="1"/>
    </xf>
    <xf numFmtId="2" fontId="11" fillId="0" borderId="0" xfId="1" applyNumberFormat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left" wrapText="1"/>
    </xf>
    <xf numFmtId="2" fontId="12" fillId="0" borderId="2" xfId="1" applyNumberFormat="1" applyFont="1" applyFill="1" applyBorder="1" applyAlignment="1">
      <alignment horizontal="left"/>
    </xf>
    <xf numFmtId="2" fontId="12" fillId="0" borderId="2" xfId="1" applyNumberFormat="1" applyFont="1" applyFill="1" applyBorder="1" applyAlignment="1">
      <alignment horizontal="left" wrapText="1"/>
    </xf>
    <xf numFmtId="2" fontId="11" fillId="0" borderId="2" xfId="1" applyNumberFormat="1" applyFont="1" applyFill="1" applyBorder="1" applyAlignment="1">
      <alignment horizontal="center" wrapText="1"/>
    </xf>
    <xf numFmtId="0" fontId="14" fillId="0" borderId="0" xfId="1" applyFont="1"/>
    <xf numFmtId="2" fontId="11" fillId="0" borderId="0" xfId="1" applyNumberFormat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left"/>
    </xf>
    <xf numFmtId="2" fontId="11" fillId="0" borderId="11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center" wrapText="1"/>
    </xf>
    <xf numFmtId="2" fontId="11" fillId="0" borderId="11" xfId="1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vertical="top" wrapText="1"/>
    </xf>
    <xf numFmtId="2" fontId="12" fillId="0" borderId="5" xfId="1" applyNumberFormat="1" applyFont="1" applyFill="1" applyBorder="1" applyAlignment="1">
      <alignment horizontal="center" vertical="top" wrapText="1"/>
    </xf>
    <xf numFmtId="2" fontId="12" fillId="0" borderId="7" xfId="1" applyNumberFormat="1" applyFont="1" applyFill="1" applyBorder="1" applyAlignment="1">
      <alignment horizontal="center" vertical="top" wrapText="1"/>
    </xf>
    <xf numFmtId="2" fontId="12" fillId="0" borderId="2" xfId="1" applyNumberFormat="1" applyFont="1" applyFill="1" applyBorder="1" applyAlignment="1">
      <alignment horizontal="center" vertical="top" wrapText="1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2" fillId="0" borderId="7" xfId="1" applyNumberFormat="1" applyFont="1" applyFill="1" applyBorder="1" applyAlignment="1">
      <alignment horizontal="center" vertical="center"/>
    </xf>
    <xf numFmtId="2" fontId="11" fillId="0" borderId="11" xfId="1" applyNumberFormat="1" applyFont="1" applyFill="1" applyBorder="1" applyAlignment="1">
      <alignment horizontal="left"/>
    </xf>
    <xf numFmtId="2" fontId="11" fillId="0" borderId="12" xfId="1" applyNumberFormat="1" applyFont="1" applyFill="1" applyBorder="1" applyAlignment="1">
      <alignment horizontal="left"/>
    </xf>
    <xf numFmtId="2" fontId="11" fillId="0" borderId="9" xfId="1" applyNumberFormat="1" applyFont="1" applyFill="1" applyBorder="1" applyAlignment="1">
      <alignment horizontal="left"/>
    </xf>
    <xf numFmtId="0" fontId="11" fillId="0" borderId="11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9" xfId="1" applyFont="1" applyBorder="1" applyAlignment="1">
      <alignment horizontal="left" wrapText="1"/>
    </xf>
    <xf numFmtId="2" fontId="11" fillId="0" borderId="0" xfId="1" applyNumberFormat="1" applyFont="1" applyFill="1" applyBorder="1" applyAlignment="1">
      <alignment horizontal="center" wrapText="1"/>
    </xf>
    <xf numFmtId="2" fontId="11" fillId="0" borderId="0" xfId="1" applyNumberFormat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left"/>
    </xf>
    <xf numFmtId="2" fontId="11" fillId="0" borderId="2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 textRotation="90" wrapText="1"/>
    </xf>
    <xf numFmtId="2" fontId="12" fillId="0" borderId="5" xfId="1" applyNumberFormat="1" applyFont="1" applyFill="1" applyBorder="1" applyAlignment="1">
      <alignment horizontal="center" vertical="center" textRotation="90" wrapText="1"/>
    </xf>
    <xf numFmtId="2" fontId="12" fillId="0" borderId="7" xfId="1" applyNumberFormat="1" applyFont="1" applyFill="1" applyBorder="1" applyAlignment="1">
      <alignment horizontal="center" vertical="center" textRotation="90" wrapText="1"/>
    </xf>
    <xf numFmtId="2" fontId="12" fillId="0" borderId="3" xfId="2" applyNumberFormat="1" applyFont="1" applyFill="1" applyBorder="1" applyAlignment="1">
      <alignment horizontal="center" vertical="top" wrapText="1"/>
    </xf>
    <xf numFmtId="2" fontId="12" fillId="0" borderId="5" xfId="2" applyNumberFormat="1" applyFont="1" applyFill="1" applyBorder="1" applyAlignment="1">
      <alignment horizontal="center" vertical="top" wrapText="1"/>
    </xf>
    <xf numFmtId="2" fontId="12" fillId="0" borderId="4" xfId="1" applyNumberFormat="1" applyFont="1" applyFill="1" applyBorder="1" applyAlignment="1">
      <alignment horizontal="center" vertical="top" wrapText="1"/>
    </xf>
    <xf numFmtId="2" fontId="12" fillId="0" borderId="6" xfId="1" applyNumberFormat="1" applyFont="1" applyFill="1" applyBorder="1" applyAlignment="1">
      <alignment horizontal="center" vertical="top" wrapText="1"/>
    </xf>
    <xf numFmtId="2" fontId="12" fillId="0" borderId="4" xfId="1" applyNumberFormat="1" applyFont="1" applyFill="1" applyBorder="1" applyAlignment="1">
      <alignment horizontal="center" vertical="center" textRotation="90" wrapText="1"/>
    </xf>
    <xf numFmtId="2" fontId="12" fillId="0" borderId="6" xfId="1" applyNumberFormat="1" applyFont="1" applyFill="1" applyBorder="1" applyAlignment="1">
      <alignment horizontal="center" vertical="center" textRotation="90"/>
    </xf>
    <xf numFmtId="2" fontId="11" fillId="0" borderId="3" xfId="1" applyNumberFormat="1" applyFont="1" applyFill="1" applyBorder="1" applyAlignment="1">
      <alignment horizontal="center" vertical="center" textRotation="90" wrapText="1"/>
    </xf>
    <xf numFmtId="2" fontId="11" fillId="0" borderId="5" xfId="1" applyNumberFormat="1" applyFont="1" applyFill="1" applyBorder="1" applyAlignment="1">
      <alignment horizontal="center" vertical="center" textRotation="90" wrapText="1"/>
    </xf>
    <xf numFmtId="2" fontId="11" fillId="0" borderId="7" xfId="1" applyNumberFormat="1" applyFont="1" applyFill="1" applyBorder="1" applyAlignment="1">
      <alignment horizontal="center" vertical="center" textRotation="90" wrapText="1"/>
    </xf>
    <xf numFmtId="2" fontId="11" fillId="0" borderId="4" xfId="1" applyNumberFormat="1" applyFont="1" applyFill="1" applyBorder="1" applyAlignment="1">
      <alignment horizontal="left"/>
    </xf>
    <xf numFmtId="2" fontId="11" fillId="0" borderId="10" xfId="1" applyNumberFormat="1" applyFont="1" applyFill="1" applyBorder="1" applyAlignment="1">
      <alignment horizontal="left"/>
    </xf>
    <xf numFmtId="2" fontId="11" fillId="0" borderId="6" xfId="1" applyNumberFormat="1" applyFont="1" applyFill="1" applyBorder="1" applyAlignment="1">
      <alignment horizontal="left" wrapText="1"/>
    </xf>
    <xf numFmtId="2" fontId="11" fillId="0" borderId="0" xfId="1" applyNumberFormat="1" applyFont="1" applyFill="1" applyBorder="1" applyAlignment="1">
      <alignment horizontal="left" wrapText="1"/>
    </xf>
    <xf numFmtId="2" fontId="11" fillId="0" borderId="11" xfId="1" applyNumberFormat="1" applyFont="1" applyFill="1" applyBorder="1" applyAlignment="1">
      <alignment horizontal="center"/>
    </xf>
    <xf numFmtId="2" fontId="11" fillId="0" borderId="12" xfId="1" applyNumberFormat="1" applyFont="1" applyFill="1" applyBorder="1" applyAlignment="1">
      <alignment horizontal="center"/>
    </xf>
    <xf numFmtId="2" fontId="11" fillId="0" borderId="9" xfId="1" applyNumberFormat="1" applyFont="1" applyFill="1" applyBorder="1" applyAlignment="1">
      <alignment horizontal="center"/>
    </xf>
    <xf numFmtId="2" fontId="12" fillId="0" borderId="6" xfId="1" applyNumberFormat="1" applyFont="1" applyFill="1" applyBorder="1" applyAlignment="1">
      <alignment horizontal="center" vertical="center" textRotation="90" wrapText="1"/>
    </xf>
    <xf numFmtId="2" fontId="11" fillId="0" borderId="9" xfId="1" applyNumberFormat="1" applyFont="1" applyFill="1" applyBorder="1" applyAlignment="1">
      <alignment horizontal="center" vertical="center" textRotation="90" wrapText="1"/>
    </xf>
    <xf numFmtId="2" fontId="11" fillId="0" borderId="11" xfId="1" applyNumberFormat="1" applyFont="1" applyFill="1" applyBorder="1" applyAlignment="1">
      <alignment horizontal="left" wrapText="1"/>
    </xf>
    <xf numFmtId="2" fontId="11" fillId="0" borderId="12" xfId="1" applyNumberFormat="1" applyFont="1" applyFill="1" applyBorder="1" applyAlignment="1">
      <alignment horizontal="left" wrapText="1"/>
    </xf>
    <xf numFmtId="2" fontId="11" fillId="0" borderId="9" xfId="1" applyNumberFormat="1" applyFont="1" applyFill="1" applyBorder="1" applyAlignment="1">
      <alignment horizontal="left" wrapText="1"/>
    </xf>
    <xf numFmtId="2" fontId="12" fillId="0" borderId="5" xfId="1" applyNumberFormat="1" applyFont="1" applyFill="1" applyBorder="1" applyAlignment="1">
      <alignment horizontal="center" vertical="center" textRotation="90"/>
    </xf>
    <xf numFmtId="2" fontId="12" fillId="0" borderId="12" xfId="1" applyNumberFormat="1" applyFont="1" applyFill="1" applyBorder="1" applyAlignment="1">
      <alignment horizontal="center" vertical="center" textRotation="90" wrapText="1"/>
    </xf>
    <xf numFmtId="2" fontId="11" fillId="0" borderId="12" xfId="1" applyNumberFormat="1" applyFont="1" applyFill="1" applyBorder="1" applyAlignment="1">
      <alignment horizontal="center" vertical="center" textRotation="90" wrapText="1"/>
    </xf>
    <xf numFmtId="2" fontId="12" fillId="0" borderId="2" xfId="1" applyNumberFormat="1" applyFont="1" applyFill="1" applyBorder="1" applyAlignment="1">
      <alignment horizontal="center" vertical="center" textRotation="90" wrapText="1"/>
    </xf>
    <xf numFmtId="2" fontId="12" fillId="0" borderId="11" xfId="1" applyNumberFormat="1" applyFont="1" applyFill="1" applyBorder="1" applyAlignment="1">
      <alignment horizontal="center" vertical="center" textRotation="90" wrapText="1"/>
    </xf>
    <xf numFmtId="2" fontId="12" fillId="0" borderId="11" xfId="1" applyNumberFormat="1" applyFont="1" applyFill="1" applyBorder="1" applyAlignment="1">
      <alignment horizontal="center" wrapText="1"/>
    </xf>
    <xf numFmtId="2" fontId="12" fillId="0" borderId="9" xfId="1" applyNumberFormat="1" applyFont="1" applyFill="1" applyBorder="1" applyAlignment="1">
      <alignment horizontal="center" wrapText="1"/>
    </xf>
    <xf numFmtId="0" fontId="11" fillId="0" borderId="2" xfId="1" applyFont="1" applyBorder="1" applyAlignment="1">
      <alignment horizontal="left" wrapText="1"/>
    </xf>
    <xf numFmtId="2" fontId="11" fillId="0" borderId="11" xfId="1" applyNumberFormat="1" applyFont="1" applyFill="1" applyBorder="1" applyAlignment="1">
      <alignment horizontal="left" vertical="top" wrapText="1"/>
    </xf>
    <xf numFmtId="2" fontId="11" fillId="0" borderId="12" xfId="1" applyNumberFormat="1" applyFont="1" applyFill="1" applyBorder="1" applyAlignment="1">
      <alignment horizontal="left" vertical="top" wrapText="1"/>
    </xf>
    <xf numFmtId="0" fontId="11" fillId="0" borderId="11" xfId="1" applyFont="1" applyBorder="1" applyAlignment="1">
      <alignment horizontal="center" wrapText="1"/>
    </xf>
    <xf numFmtId="0" fontId="11" fillId="0" borderId="9" xfId="1" applyFont="1" applyBorder="1" applyAlignment="1">
      <alignment horizont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166" fontId="12" fillId="0" borderId="5" xfId="1" applyNumberFormat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2" fontId="12" fillId="0" borderId="11" xfId="1" applyNumberFormat="1" applyFont="1" applyFill="1" applyBorder="1" applyAlignment="1">
      <alignment horizontal="left" wrapText="1"/>
    </xf>
    <xf numFmtId="2" fontId="12" fillId="0" borderId="12" xfId="1" applyNumberFormat="1" applyFont="1" applyFill="1" applyBorder="1" applyAlignment="1">
      <alignment horizontal="left" wrapText="1"/>
    </xf>
    <xf numFmtId="2" fontId="12" fillId="0" borderId="9" xfId="1" applyNumberFormat="1" applyFont="1" applyFill="1" applyBorder="1" applyAlignment="1">
      <alignment horizontal="left" wrapText="1"/>
    </xf>
    <xf numFmtId="2" fontId="11" fillId="0" borderId="2" xfId="1" applyNumberFormat="1" applyFont="1" applyFill="1" applyBorder="1" applyAlignment="1">
      <alignment horizontal="left" wrapText="1"/>
    </xf>
    <xf numFmtId="2" fontId="2" fillId="0" borderId="0" xfId="1" applyNumberFormat="1" applyFont="1" applyFill="1" applyAlignment="1">
      <alignment horizontal="center"/>
    </xf>
    <xf numFmtId="2" fontId="11" fillId="0" borderId="11" xfId="1" applyNumberFormat="1" applyFont="1" applyFill="1" applyBorder="1" applyAlignment="1">
      <alignment horizontal="center" wrapText="1"/>
    </xf>
    <xf numFmtId="2" fontId="11" fillId="0" borderId="12" xfId="1" applyNumberFormat="1" applyFont="1" applyFill="1" applyBorder="1" applyAlignment="1">
      <alignment horizontal="center" wrapText="1"/>
    </xf>
    <xf numFmtId="2" fontId="12" fillId="0" borderId="11" xfId="1" applyNumberFormat="1" applyFont="1" applyFill="1" applyBorder="1" applyAlignment="1">
      <alignment horizontal="left"/>
    </xf>
    <xf numFmtId="2" fontId="12" fillId="0" borderId="12" xfId="1" applyNumberFormat="1" applyFont="1" applyFill="1" applyBorder="1" applyAlignment="1">
      <alignment horizontal="left"/>
    </xf>
    <xf numFmtId="2" fontId="12" fillId="0" borderId="9" xfId="1" applyNumberFormat="1" applyFont="1" applyFill="1" applyBorder="1" applyAlignment="1">
      <alignment horizontal="left"/>
    </xf>
    <xf numFmtId="2" fontId="11" fillId="0" borderId="3" xfId="1" applyNumberFormat="1" applyFont="1" applyFill="1" applyBorder="1" applyAlignment="1">
      <alignment horizontal="center" vertical="center"/>
    </xf>
    <xf numFmtId="2" fontId="11" fillId="0" borderId="5" xfId="1" applyNumberFormat="1" applyFont="1" applyFill="1" applyBorder="1" applyAlignment="1">
      <alignment horizontal="center" vertical="center"/>
    </xf>
    <xf numFmtId="2" fontId="11" fillId="0" borderId="7" xfId="1" applyNumberFormat="1" applyFont="1" applyFill="1" applyBorder="1" applyAlignment="1">
      <alignment horizontal="center" vertical="center"/>
    </xf>
    <xf numFmtId="2" fontId="11" fillId="0" borderId="9" xfId="1" applyNumberFormat="1" applyFont="1" applyFill="1" applyBorder="1" applyAlignment="1">
      <alignment horizontal="left" vertical="top" wrapText="1"/>
    </xf>
    <xf numFmtId="0" fontId="11" fillId="0" borderId="8" xfId="1" applyFont="1" applyBorder="1" applyAlignment="1">
      <alignment horizontal="left" wrapText="1"/>
    </xf>
    <xf numFmtId="0" fontId="11" fillId="0" borderId="15" xfId="1" applyFont="1" applyBorder="1" applyAlignment="1">
      <alignment horizontal="left" wrapText="1"/>
    </xf>
    <xf numFmtId="0" fontId="11" fillId="0" borderId="17" xfId="1" applyFont="1" applyBorder="1" applyAlignment="1">
      <alignment horizontal="left" wrapText="1"/>
    </xf>
    <xf numFmtId="2" fontId="12" fillId="0" borderId="3" xfId="8" applyNumberFormat="1" applyFont="1" applyFill="1" applyBorder="1" applyAlignment="1">
      <alignment horizontal="center" vertical="top" wrapText="1"/>
    </xf>
    <xf numFmtId="2" fontId="12" fillId="0" borderId="5" xfId="8" applyNumberFormat="1" applyFont="1" applyFill="1" applyBorder="1" applyAlignment="1">
      <alignment horizontal="center" vertical="top" wrapText="1"/>
    </xf>
    <xf numFmtId="2" fontId="11" fillId="0" borderId="4" xfId="1" applyNumberFormat="1" applyFont="1" applyFill="1" applyBorder="1" applyAlignment="1">
      <alignment horizontal="center" wrapText="1"/>
    </xf>
    <xf numFmtId="2" fontId="11" fillId="0" borderId="10" xfId="1" applyNumberFormat="1" applyFont="1" applyFill="1" applyBorder="1" applyAlignment="1">
      <alignment horizontal="center" wrapText="1"/>
    </xf>
    <xf numFmtId="2" fontId="11" fillId="0" borderId="9" xfId="1" applyNumberFormat="1" applyFont="1" applyFill="1" applyBorder="1" applyAlignment="1">
      <alignment horizontal="center" wrapText="1"/>
    </xf>
    <xf numFmtId="2" fontId="11" fillId="0" borderId="2" xfId="1" applyNumberFormat="1" applyFont="1" applyFill="1" applyBorder="1" applyAlignment="1">
      <alignment horizontal="left"/>
    </xf>
    <xf numFmtId="2" fontId="12" fillId="0" borderId="2" xfId="1" applyNumberFormat="1" applyFont="1" applyFill="1" applyBorder="1" applyAlignment="1">
      <alignment horizontal="left"/>
    </xf>
    <xf numFmtId="2" fontId="12" fillId="0" borderId="2" xfId="1" applyNumberFormat="1" applyFont="1" applyFill="1" applyBorder="1" applyAlignment="1">
      <alignment horizontal="left" wrapText="1"/>
    </xf>
    <xf numFmtId="2" fontId="11" fillId="0" borderId="4" xfId="1" applyNumberFormat="1" applyFont="1" applyFill="1" applyBorder="1" applyAlignment="1">
      <alignment horizontal="left" wrapText="1"/>
    </xf>
    <xf numFmtId="2" fontId="11" fillId="0" borderId="10" xfId="1" applyNumberFormat="1" applyFont="1" applyFill="1" applyBorder="1" applyAlignment="1">
      <alignment horizontal="left" wrapText="1"/>
    </xf>
    <xf numFmtId="2" fontId="11" fillId="0" borderId="14" xfId="1" applyNumberFormat="1" applyFont="1" applyFill="1" applyBorder="1" applyAlignment="1">
      <alignment horizontal="left" wrapText="1"/>
    </xf>
    <xf numFmtId="168" fontId="12" fillId="0" borderId="3" xfId="2" applyNumberFormat="1" applyFont="1" applyFill="1" applyBorder="1" applyAlignment="1">
      <alignment horizontal="center" vertical="top" wrapText="1"/>
    </xf>
    <xf numFmtId="168" fontId="12" fillId="0" borderId="5" xfId="2" applyNumberFormat="1" applyFont="1" applyFill="1" applyBorder="1" applyAlignment="1">
      <alignment horizontal="center" vertical="top" wrapText="1"/>
    </xf>
    <xf numFmtId="1" fontId="12" fillId="0" borderId="3" xfId="1" applyNumberFormat="1" applyFont="1" applyFill="1" applyBorder="1" applyAlignment="1">
      <alignment horizontal="center" vertical="center" textRotation="90" wrapText="1"/>
    </xf>
    <xf numFmtId="1" fontId="12" fillId="0" borderId="5" xfId="1" applyNumberFormat="1" applyFont="1" applyFill="1" applyBorder="1" applyAlignment="1">
      <alignment horizontal="center" vertical="center" textRotation="90" wrapText="1"/>
    </xf>
    <xf numFmtId="1" fontId="11" fillId="0" borderId="3" xfId="1" applyNumberFormat="1" applyFont="1" applyFill="1" applyBorder="1" applyAlignment="1">
      <alignment horizontal="center" vertical="center" textRotation="90" wrapText="1"/>
    </xf>
    <xf numFmtId="1" fontId="11" fillId="0" borderId="5" xfId="1" applyNumberFormat="1" applyFont="1" applyFill="1" applyBorder="1" applyAlignment="1">
      <alignment horizontal="center" vertical="center" textRotation="90" wrapText="1"/>
    </xf>
    <xf numFmtId="1" fontId="11" fillId="0" borderId="7" xfId="1" applyNumberFormat="1" applyFont="1" applyFill="1" applyBorder="1" applyAlignment="1">
      <alignment horizontal="center" vertical="center" textRotation="90" wrapText="1"/>
    </xf>
    <xf numFmtId="1" fontId="11" fillId="0" borderId="9" xfId="1" applyNumberFormat="1" applyFont="1" applyFill="1" applyBorder="1" applyAlignment="1">
      <alignment horizontal="center" vertical="center" textRotation="90" wrapText="1"/>
    </xf>
    <xf numFmtId="1" fontId="12" fillId="0" borderId="3" xfId="1" applyNumberFormat="1" applyFont="1" applyFill="1" applyBorder="1" applyAlignment="1">
      <alignment horizontal="center" vertical="center"/>
    </xf>
    <xf numFmtId="1" fontId="12" fillId="0" borderId="5" xfId="1" applyNumberFormat="1" applyFont="1" applyFill="1" applyBorder="1" applyAlignment="1">
      <alignment horizontal="center" vertical="center"/>
    </xf>
    <xf numFmtId="1" fontId="12" fillId="0" borderId="7" xfId="1" applyNumberFormat="1" applyFont="1" applyFill="1" applyBorder="1" applyAlignment="1">
      <alignment horizontal="center" vertical="center"/>
    </xf>
    <xf numFmtId="168" fontId="12" fillId="0" borderId="3" xfId="1" applyNumberFormat="1" applyFont="1" applyFill="1" applyBorder="1" applyAlignment="1">
      <alignment horizontal="center" vertical="center"/>
    </xf>
    <xf numFmtId="168" fontId="12" fillId="0" borderId="5" xfId="1" applyNumberFormat="1" applyFont="1" applyFill="1" applyBorder="1" applyAlignment="1">
      <alignment horizontal="center" vertical="center"/>
    </xf>
    <xf numFmtId="168" fontId="12" fillId="0" borderId="7" xfId="1" applyNumberFormat="1" applyFont="1" applyFill="1" applyBorder="1" applyAlignment="1">
      <alignment horizontal="center" vertical="center"/>
    </xf>
    <xf numFmtId="2" fontId="11" fillId="0" borderId="0" xfId="1" applyNumberFormat="1" applyFont="1" applyFill="1" applyAlignment="1">
      <alignment horizontal="left"/>
    </xf>
    <xf numFmtId="2" fontId="11" fillId="0" borderId="2" xfId="1" applyNumberFormat="1" applyFont="1" applyFill="1" applyBorder="1" applyAlignment="1">
      <alignment horizontal="center" wrapText="1"/>
    </xf>
  </cellXfs>
  <cellStyles count="11">
    <cellStyle name="20% - Акцент3 2" xfId="3"/>
    <cellStyle name="Ввод  2" xfId="4"/>
    <cellStyle name="Вычисление 2" xfId="5"/>
    <cellStyle name="Денежный 2" xfId="2"/>
    <cellStyle name="Денежный 2 2" xfId="10"/>
    <cellStyle name="Денежный 3" xfId="6"/>
    <cellStyle name="Денежный 4" xfId="8"/>
    <cellStyle name="Денежный 4 2" xfId="9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citv1/AppData/Local/Temp/Rar$DIa3196.5615/I%20&#1082;&#1072;&#1090;&#1077;&#1075;&#1086;&#1088;&#1080;&#1103;%202021&#1080;&#1089;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citv1/AppData/Local/Temp/Rar$DIa3196.5615/II%20&#1082;&#1072;&#1090;&#1077;&#1075;&#1086;&#1088;&#1080;&#1103;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citv1/AppData/Local/Temp/Rar$DIa3196.5615/III%20&#1082;&#1072;&#1090;&#1077;&#1075;&#1086;&#1088;&#1080;&#1103;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citv1/AppData/Local/Temp/Rar$DIa3196.5615/4%20&#1082;&#1072;&#1090;&#1077;&#1075;&#1086;&#1088;&#1080;&#1103;%202021%20&#1080;&#1089;&#1087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citv1/AppData/Local/Temp/Rar$DIa3196.5615/5%20&#1082;&#1072;&#1090;&#1077;&#1075;&#1086;&#1088;&#1080;&#1103;%202021%20&#1080;&#1089;&#108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тет"/>
      <sheetName val="I категория общй"/>
      <sheetName val="I категория эл"/>
      <sheetName val="1 категория!!!!!!!!!!!!!!!"/>
      <sheetName val="Общий свод "/>
      <sheetName val="Общий свод эл п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</sheetNames>
    <sheetDataSet>
      <sheetData sheetId="0"/>
      <sheetData sheetId="1"/>
      <sheetData sheetId="2"/>
      <sheetData sheetId="3">
        <row r="35">
          <cell r="K35">
            <v>41.180000000000007</v>
          </cell>
          <cell r="L35">
            <v>0</v>
          </cell>
          <cell r="M35">
            <v>8636</v>
          </cell>
          <cell r="N35">
            <v>27739.8</v>
          </cell>
          <cell r="P35">
            <v>23.449697950872714</v>
          </cell>
          <cell r="S35">
            <v>10015</v>
          </cell>
          <cell r="X35">
            <v>38613</v>
          </cell>
          <cell r="Y35">
            <v>36830</v>
          </cell>
          <cell r="Z35">
            <v>7243</v>
          </cell>
          <cell r="AA35">
            <v>38908</v>
          </cell>
          <cell r="AB35">
            <v>0</v>
          </cell>
          <cell r="AD35">
            <v>23095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II категория общий свод"/>
      <sheetName val="2 категория "/>
      <sheetName val="Общий свод "/>
      <sheetName val="1"/>
      <sheetName val="2"/>
      <sheetName val="3"/>
      <sheetName val="II категория общий свод эл"/>
    </sheetNames>
    <sheetDataSet>
      <sheetData sheetId="0"/>
      <sheetData sheetId="1"/>
      <sheetData sheetId="2">
        <row r="8">
          <cell r="E8">
            <v>19817.29</v>
          </cell>
          <cell r="F8">
            <v>4.1900000000000004</v>
          </cell>
          <cell r="G8">
            <v>0</v>
          </cell>
          <cell r="H8">
            <v>808</v>
          </cell>
          <cell r="I8">
            <v>3324.4</v>
          </cell>
          <cell r="Q8">
            <v>3274</v>
          </cell>
          <cell r="R8">
            <v>3158</v>
          </cell>
          <cell r="S8">
            <v>585</v>
          </cell>
          <cell r="T8">
            <v>3438</v>
          </cell>
          <cell r="U8">
            <v>0</v>
          </cell>
          <cell r="W8">
            <v>2633</v>
          </cell>
          <cell r="X8">
            <v>1316.5</v>
          </cell>
          <cell r="Y8">
            <v>6100</v>
          </cell>
        </row>
      </sheetData>
      <sheetData sheetId="3">
        <row r="8">
          <cell r="E8">
            <v>19817.29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III категория общий свод"/>
      <sheetName val="III категория общий свод эл"/>
      <sheetName val="3 категория!!!!!!!!!!!!!!!!"/>
      <sheetName val="Общий свод "/>
      <sheetName val="Общий свод эл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116"/>
      <sheetName val="117"/>
      <sheetName val="118"/>
      <sheetName val="119"/>
      <sheetName val="120"/>
      <sheetName val="121"/>
      <sheetName val="122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33"/>
      <sheetName val="134"/>
      <sheetName val="135"/>
      <sheetName val="136"/>
      <sheetName val="137"/>
      <sheetName val="138"/>
      <sheetName val="139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49"/>
      <sheetName val="150"/>
      <sheetName val="151"/>
      <sheetName val="152"/>
      <sheetName val="153"/>
      <sheetName val="154"/>
      <sheetName val="155"/>
      <sheetName val="156"/>
      <sheetName val="157"/>
      <sheetName val="158"/>
      <sheetName val="159"/>
      <sheetName val="160"/>
      <sheetName val="161"/>
      <sheetName val="162"/>
      <sheetName val="163"/>
      <sheetName val="164"/>
      <sheetName val="165"/>
      <sheetName val="166"/>
      <sheetName val="167"/>
      <sheetName val="168"/>
      <sheetName val="169"/>
      <sheetName val="170"/>
      <sheetName val="171"/>
      <sheetName val="172"/>
      <sheetName val="173"/>
      <sheetName val="174"/>
      <sheetName val="175"/>
      <sheetName val="176"/>
      <sheetName val="177"/>
      <sheetName val="178"/>
      <sheetName val="179"/>
      <sheetName val="180"/>
      <sheetName val="181"/>
      <sheetName val="182"/>
      <sheetName val="183"/>
      <sheetName val="184"/>
      <sheetName val="185"/>
      <sheetName val="186"/>
      <sheetName val="187"/>
      <sheetName val="188"/>
      <sheetName val="189"/>
      <sheetName val="190"/>
      <sheetName val="191"/>
      <sheetName val="192"/>
      <sheetName val="193"/>
      <sheetName val="194"/>
      <sheetName val="195"/>
      <sheetName val="196"/>
      <sheetName val="197"/>
      <sheetName val="198"/>
      <sheetName val="199"/>
      <sheetName val="200"/>
      <sheetName val="201"/>
      <sheetName val="202"/>
      <sheetName val="203"/>
      <sheetName val="204"/>
      <sheetName val="205"/>
      <sheetName val="206"/>
      <sheetName val="207"/>
      <sheetName val="208"/>
      <sheetName val="209"/>
      <sheetName val="210"/>
      <sheetName val="211"/>
      <sheetName val="212"/>
      <sheetName val="213"/>
      <sheetName val="214"/>
      <sheetName val="215"/>
      <sheetName val="216"/>
      <sheetName val="217"/>
      <sheetName val="218"/>
      <sheetName val="219"/>
      <sheetName val="220"/>
      <sheetName val="221"/>
      <sheetName val="222"/>
      <sheetName val="223"/>
      <sheetName val="224"/>
      <sheetName val="225"/>
      <sheetName val="226"/>
      <sheetName val="227"/>
      <sheetName val="228"/>
      <sheetName val="229"/>
      <sheetName val="230"/>
      <sheetName val="231"/>
      <sheetName val="232"/>
    </sheetNames>
    <sheetDataSet>
      <sheetData sheetId="0" refreshError="1"/>
      <sheetData sheetId="1" refreshError="1"/>
      <sheetData sheetId="2" refreshError="1"/>
      <sheetData sheetId="3" refreshError="1">
        <row r="5">
          <cell r="K5">
            <v>1066</v>
          </cell>
        </row>
        <row r="204">
          <cell r="O204">
            <v>125</v>
          </cell>
        </row>
        <row r="245">
          <cell r="G245">
            <v>133.13</v>
          </cell>
          <cell r="H245">
            <v>7973</v>
          </cell>
          <cell r="I245">
            <v>24618</v>
          </cell>
          <cell r="T245">
            <v>220494</v>
          </cell>
          <cell r="U245">
            <v>128497</v>
          </cell>
          <cell r="V245">
            <v>35402</v>
          </cell>
          <cell r="X245">
            <v>1014</v>
          </cell>
          <cell r="Z245">
            <v>114105.92</v>
          </cell>
          <cell r="AA245">
            <v>57052.959999999999</v>
          </cell>
          <cell r="AB245">
            <v>268800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 4 категория  общий свод"/>
      <sheetName val=" 4 категория  эл"/>
      <sheetName val="4 категория"/>
      <sheetName val="Общий свод 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</sheetNames>
    <sheetDataSet>
      <sheetData sheetId="0"/>
      <sheetData sheetId="1"/>
      <sheetData sheetId="2"/>
      <sheetData sheetId="3">
        <row r="50">
          <cell r="K50">
            <v>0.48</v>
          </cell>
          <cell r="L50">
            <v>43</v>
          </cell>
          <cell r="M50">
            <v>154</v>
          </cell>
          <cell r="N50">
            <v>295</v>
          </cell>
          <cell r="T50">
            <v>1682</v>
          </cell>
          <cell r="U50">
            <v>1541</v>
          </cell>
          <cell r="V50">
            <v>340</v>
          </cell>
          <cell r="W50">
            <v>503</v>
          </cell>
          <cell r="X5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5категория общий свод"/>
      <sheetName val="5категория общий свод эл"/>
      <sheetName val="5 категоря"/>
      <sheetName val="Общий свод 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Лист1"/>
    </sheetNames>
    <sheetDataSet>
      <sheetData sheetId="0"/>
      <sheetData sheetId="1"/>
      <sheetData sheetId="2"/>
      <sheetData sheetId="3">
        <row r="15">
          <cell r="L15">
            <v>11</v>
          </cell>
          <cell r="M15">
            <v>33</v>
          </cell>
          <cell r="S15">
            <v>744</v>
          </cell>
          <cell r="T15">
            <v>192</v>
          </cell>
          <cell r="U15">
            <v>68</v>
          </cell>
          <cell r="V15">
            <v>0</v>
          </cell>
          <cell r="W15">
            <v>0</v>
          </cell>
          <cell r="Y15">
            <v>200.7</v>
          </cell>
        </row>
        <row r="53">
          <cell r="Z53">
            <v>1066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6"/>
  <sheetViews>
    <sheetView zoomScale="140" zoomScaleNormal="140" workbookViewId="0">
      <selection activeCell="P7" sqref="P7:P9"/>
    </sheetView>
  </sheetViews>
  <sheetFormatPr defaultColWidth="9.140625" defaultRowHeight="12.75" x14ac:dyDescent="0.2"/>
  <cols>
    <col min="1" max="1" width="71.85546875" style="2" customWidth="1"/>
    <col min="2" max="2" width="6.42578125" style="2" hidden="1" customWidth="1"/>
    <col min="3" max="3" width="7.7109375" style="2" hidden="1" customWidth="1"/>
    <col min="4" max="4" width="6.140625" style="2" hidden="1" customWidth="1"/>
    <col min="5" max="5" width="10.140625" style="2" hidden="1" customWidth="1"/>
    <col min="6" max="6" width="10.28515625" style="2" hidden="1" customWidth="1"/>
    <col min="7" max="7" width="9.140625" style="2" hidden="1" customWidth="1"/>
    <col min="8" max="8" width="8.28515625" style="2" hidden="1" customWidth="1"/>
    <col min="9" max="9" width="9.7109375" style="2" hidden="1" customWidth="1"/>
    <col min="10" max="10" width="11" style="2" hidden="1" customWidth="1"/>
    <col min="11" max="11" width="9.28515625" style="2" hidden="1" customWidth="1"/>
    <col min="12" max="12" width="10.42578125" style="2" hidden="1" customWidth="1"/>
    <col min="13" max="13" width="10.28515625" style="2" hidden="1" customWidth="1"/>
    <col min="14" max="14" width="10.7109375" style="2" hidden="1" customWidth="1"/>
    <col min="15" max="15" width="17.140625" style="2" hidden="1" customWidth="1"/>
    <col min="16" max="16" width="17.140625" style="2" customWidth="1"/>
    <col min="17" max="16384" width="9.140625" style="1"/>
  </cols>
  <sheetData>
    <row r="2" spans="1:17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7" ht="14.45" customHeight="1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35"/>
    </row>
    <row r="4" spans="1:17" ht="15.75" customHeight="1" x14ac:dyDescent="0.2">
      <c r="A4" s="154" t="s">
        <v>121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</row>
    <row r="5" spans="1:17" ht="14.25" hidden="1" x14ac:dyDescent="0.2">
      <c r="A5" s="156" t="s">
        <v>0</v>
      </c>
      <c r="B5" s="156"/>
      <c r="C5" s="156"/>
      <c r="D5" s="156"/>
      <c r="E5" s="15">
        <f>233678.45+4772.6</f>
        <v>238451.05000000002</v>
      </c>
      <c r="F5" s="15" t="s">
        <v>1</v>
      </c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7" ht="15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/>
      <c r="P6" s="16"/>
    </row>
    <row r="7" spans="1:17" ht="24.95" customHeight="1" x14ac:dyDescent="0.2">
      <c r="A7" s="157" t="s">
        <v>2</v>
      </c>
      <c r="B7" s="158" t="s">
        <v>3</v>
      </c>
      <c r="C7" s="158" t="s">
        <v>4</v>
      </c>
      <c r="D7" s="158" t="s">
        <v>5</v>
      </c>
      <c r="E7" s="161" t="s">
        <v>6</v>
      </c>
      <c r="F7" s="163" t="s">
        <v>7</v>
      </c>
      <c r="G7" s="165" t="s">
        <v>8</v>
      </c>
      <c r="H7" s="165" t="s">
        <v>9</v>
      </c>
      <c r="I7" s="165" t="s">
        <v>10</v>
      </c>
      <c r="J7" s="158" t="s">
        <v>11</v>
      </c>
      <c r="K7" s="158" t="s">
        <v>12</v>
      </c>
      <c r="L7" s="167" t="s">
        <v>13</v>
      </c>
      <c r="M7" s="158" t="s">
        <v>14</v>
      </c>
      <c r="N7" s="167" t="s">
        <v>15</v>
      </c>
      <c r="O7" s="141" t="s">
        <v>16</v>
      </c>
      <c r="P7" s="141" t="s">
        <v>127</v>
      </c>
    </row>
    <row r="8" spans="1:17" ht="24.95" customHeight="1" x14ac:dyDescent="0.2">
      <c r="A8" s="157"/>
      <c r="B8" s="159"/>
      <c r="C8" s="159"/>
      <c r="D8" s="159"/>
      <c r="E8" s="162"/>
      <c r="F8" s="164"/>
      <c r="G8" s="166"/>
      <c r="H8" s="177"/>
      <c r="I8" s="177"/>
      <c r="J8" s="159"/>
      <c r="K8" s="159"/>
      <c r="L8" s="168"/>
      <c r="M8" s="159"/>
      <c r="N8" s="168"/>
      <c r="O8" s="142"/>
      <c r="P8" s="142"/>
    </row>
    <row r="9" spans="1:17" ht="27.75" customHeight="1" x14ac:dyDescent="0.2">
      <c r="A9" s="157"/>
      <c r="B9" s="160"/>
      <c r="C9" s="160"/>
      <c r="D9" s="160"/>
      <c r="E9" s="18">
        <v>12792</v>
      </c>
      <c r="F9" s="19">
        <v>0.30280000000000001</v>
      </c>
      <c r="G9" s="20">
        <v>2.2599999999999999E-2</v>
      </c>
      <c r="H9" s="21">
        <v>2.7E-2</v>
      </c>
      <c r="I9" s="21">
        <v>0.47499999999999998</v>
      </c>
      <c r="J9" s="160"/>
      <c r="K9" s="22">
        <v>3.0000000000000001E-3</v>
      </c>
      <c r="L9" s="169"/>
      <c r="M9" s="23">
        <v>0.2</v>
      </c>
      <c r="N9" s="169"/>
      <c r="O9" s="143"/>
      <c r="P9" s="143"/>
    </row>
    <row r="10" spans="1:17" ht="24.75" hidden="1" customHeight="1" x14ac:dyDescent="0.2">
      <c r="A10" s="157"/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14</v>
      </c>
    </row>
    <row r="11" spans="1:17" ht="20.100000000000001" customHeight="1" x14ac:dyDescent="0.25">
      <c r="A11" s="170" t="s">
        <v>17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25"/>
    </row>
    <row r="12" spans="1:17" ht="50.25" customHeight="1" x14ac:dyDescent="0.2">
      <c r="A12" s="26" t="s">
        <v>106</v>
      </c>
      <c r="B12" s="27" t="s">
        <v>18</v>
      </c>
      <c r="C12" s="27" t="s">
        <v>18</v>
      </c>
      <c r="D12" s="27">
        <f>SUM(D13:D15)</f>
        <v>14.627784336875246</v>
      </c>
      <c r="E12" s="27">
        <f t="shared" ref="E12:N12" si="0">SUM(E13:E15)</f>
        <v>2245423.4068476977</v>
      </c>
      <c r="F12" s="27">
        <f t="shared" si="0"/>
        <v>679914.20759348292</v>
      </c>
      <c r="G12" s="27">
        <f t="shared" si="0"/>
        <v>50746.568994757967</v>
      </c>
      <c r="H12" s="27">
        <f t="shared" si="0"/>
        <v>60626.431984887837</v>
      </c>
      <c r="I12" s="27">
        <f t="shared" si="0"/>
        <v>1066576.1182526564</v>
      </c>
      <c r="J12" s="27">
        <f t="shared" si="0"/>
        <v>4103286.7336734831</v>
      </c>
      <c r="K12" s="27">
        <f t="shared" si="0"/>
        <v>12309.86020102045</v>
      </c>
      <c r="L12" s="27">
        <f t="shared" si="0"/>
        <v>4115596.5938745039</v>
      </c>
      <c r="M12" s="27">
        <f t="shared" si="0"/>
        <v>823119.31877490086</v>
      </c>
      <c r="N12" s="27">
        <f t="shared" si="0"/>
        <v>4938715.9126494052</v>
      </c>
      <c r="O12" s="27">
        <f>SUM(O13:O15)</f>
        <v>1.7259712607155657</v>
      </c>
      <c r="P12" s="27">
        <f>(1.77*1.055)*1.045</f>
        <v>1.9513807499999998</v>
      </c>
    </row>
    <row r="13" spans="1:17" ht="20.100000000000001" customHeight="1" x14ac:dyDescent="0.25">
      <c r="A13" s="28" t="s">
        <v>19</v>
      </c>
      <c r="B13" s="29">
        <f>'[1]1 категория!!!!!!!!!!!!!!!'!Z35</f>
        <v>7243</v>
      </c>
      <c r="C13" s="29">
        <v>3630</v>
      </c>
      <c r="D13" s="30">
        <f>B13/C13</f>
        <v>1.9953168044077134</v>
      </c>
      <c r="E13" s="30">
        <f>D13*$E$9*12</f>
        <v>306289.11074380163</v>
      </c>
      <c r="F13" s="31">
        <f>E13*$F$9</f>
        <v>92744.342733223137</v>
      </c>
      <c r="G13" s="31">
        <f>E13*$G$9</f>
        <v>6922.1339028099164</v>
      </c>
      <c r="H13" s="31">
        <f>E13*$H$9</f>
        <v>8269.8059900826447</v>
      </c>
      <c r="I13" s="31">
        <f>E13*$I$9</f>
        <v>145487.32760330578</v>
      </c>
      <c r="J13" s="31">
        <f>SUM(E13:I13)</f>
        <v>559712.7209732231</v>
      </c>
      <c r="K13" s="31">
        <f>J13*$K$9</f>
        <v>1679.1381629196694</v>
      </c>
      <c r="L13" s="32">
        <f>SUM(J13:K13)</f>
        <v>561391.85913614277</v>
      </c>
      <c r="M13" s="31">
        <f>L13*$M$9</f>
        <v>112278.37182722856</v>
      </c>
      <c r="N13" s="32">
        <f>SUM(L13:M13)</f>
        <v>673670.23096337134</v>
      </c>
      <c r="O13" s="31">
        <f>N13/$E$5/12</f>
        <v>0.23543274778456322</v>
      </c>
      <c r="P13" s="27">
        <f>(0.23*1.055)*1.045</f>
        <v>0.25356924999999997</v>
      </c>
    </row>
    <row r="14" spans="1:17" ht="20.100000000000001" customHeight="1" x14ac:dyDescent="0.25">
      <c r="A14" s="28" t="s">
        <v>20</v>
      </c>
      <c r="B14" s="29">
        <f>'[1]1 категория!!!!!!!!!!!!!!!'!AA35</f>
        <v>38908</v>
      </c>
      <c r="C14" s="29">
        <v>3080</v>
      </c>
      <c r="D14" s="30">
        <f>B14/C14</f>
        <v>12.632467532467533</v>
      </c>
      <c r="E14" s="30">
        <f>D14*$E$9*12</f>
        <v>1939134.2961038961</v>
      </c>
      <c r="F14" s="31">
        <f>E14*$F$9</f>
        <v>587169.86486025981</v>
      </c>
      <c r="G14" s="31">
        <f>E14*$G$9</f>
        <v>43824.435091948049</v>
      </c>
      <c r="H14" s="31">
        <f>E14*$H$9</f>
        <v>52356.625994805196</v>
      </c>
      <c r="I14" s="31">
        <f>E14*$I$9</f>
        <v>921088.79064935062</v>
      </c>
      <c r="J14" s="31">
        <f>SUM(E14:I14)</f>
        <v>3543574.0127002602</v>
      </c>
      <c r="K14" s="31">
        <f>J14*$K$9</f>
        <v>10630.722038100781</v>
      </c>
      <c r="L14" s="32">
        <f>SUM(J14:K14)</f>
        <v>3554204.7347383611</v>
      </c>
      <c r="M14" s="31">
        <f>L14*$M$9</f>
        <v>710840.94694767229</v>
      </c>
      <c r="N14" s="32">
        <f>SUM(L14:M14)</f>
        <v>4265045.6816860335</v>
      </c>
      <c r="O14" s="31">
        <f>N14/$E$5/12</f>
        <v>1.4905385129310025</v>
      </c>
      <c r="P14" s="27">
        <f>1.63*1.045</f>
        <v>1.7033499999999997</v>
      </c>
    </row>
    <row r="15" spans="1:17" ht="20.100000000000001" customHeight="1" x14ac:dyDescent="0.25">
      <c r="A15" s="28" t="s">
        <v>21</v>
      </c>
      <c r="B15" s="29">
        <f>'[1]1 категория!!!!!!!!!!!!!!!'!AB35</f>
        <v>0</v>
      </c>
      <c r="C15" s="29">
        <v>2500</v>
      </c>
      <c r="D15" s="30">
        <f>B15/C15</f>
        <v>0</v>
      </c>
      <c r="E15" s="30">
        <f>D15*$E$9*12</f>
        <v>0</v>
      </c>
      <c r="F15" s="31">
        <f>E15*$F$9</f>
        <v>0</v>
      </c>
      <c r="G15" s="31">
        <f>E15*$G$9</f>
        <v>0</v>
      </c>
      <c r="H15" s="31">
        <f>E15*$H$9</f>
        <v>0</v>
      </c>
      <c r="I15" s="31">
        <f>E15*$I$9</f>
        <v>0</v>
      </c>
      <c r="J15" s="31">
        <f>SUM(E15:I15)</f>
        <v>0</v>
      </c>
      <c r="K15" s="31">
        <f>J15*$K$9</f>
        <v>0</v>
      </c>
      <c r="L15" s="32">
        <f>SUM(J15:K15)</f>
        <v>0</v>
      </c>
      <c r="M15" s="31">
        <f>L15*$M$9</f>
        <v>0</v>
      </c>
      <c r="N15" s="32">
        <f>SUM(L15:M15)</f>
        <v>0</v>
      </c>
      <c r="O15" s="31">
        <f>N15/$E$5</f>
        <v>0</v>
      </c>
      <c r="P15" s="27">
        <f>(O15*1.04)*1.055</f>
        <v>0</v>
      </c>
    </row>
    <row r="16" spans="1:17" ht="20.100000000000001" customHeight="1" x14ac:dyDescent="0.25">
      <c r="A16" s="26" t="s">
        <v>98</v>
      </c>
      <c r="B16" s="29">
        <f>'[1]1 категория!!!!!!!!!!!!!!!'!X35</f>
        <v>38613</v>
      </c>
      <c r="C16" s="29">
        <v>30000</v>
      </c>
      <c r="D16" s="31">
        <f>B16/C16</f>
        <v>1.2870999999999999</v>
      </c>
      <c r="E16" s="30">
        <f>$E$9*D16*12</f>
        <v>197574.99839999998</v>
      </c>
      <c r="F16" s="31">
        <f>E16*$F$9</f>
        <v>59825.70951552</v>
      </c>
      <c r="G16" s="31">
        <f>E16*$G$9</f>
        <v>4465.1949638399992</v>
      </c>
      <c r="H16" s="31">
        <f>E16*$H$9</f>
        <v>5334.524956799999</v>
      </c>
      <c r="I16" s="31">
        <f>E16*$I$9</f>
        <v>93848.12423999999</v>
      </c>
      <c r="J16" s="31">
        <f>E16+F16+G16+H16+I16</f>
        <v>361048.55207615998</v>
      </c>
      <c r="K16" s="31">
        <f>J16*$K$9</f>
        <v>1083.14565622848</v>
      </c>
      <c r="L16" s="32">
        <f>J16+K16</f>
        <v>362131.69773238845</v>
      </c>
      <c r="M16" s="31">
        <f>L16*$M$9</f>
        <v>72426.339546477699</v>
      </c>
      <c r="N16" s="32">
        <f>L16+M16</f>
        <v>434558.03727886616</v>
      </c>
      <c r="O16" s="31">
        <f>N16/$E$5/12</f>
        <v>0.15186835945255364</v>
      </c>
      <c r="P16" s="27">
        <f>(0.14*1.055)*1.045</f>
        <v>0.1543465</v>
      </c>
    </row>
    <row r="17" spans="1:16" ht="50.25" customHeight="1" x14ac:dyDescent="0.25">
      <c r="A17" s="28" t="s">
        <v>107</v>
      </c>
      <c r="B17" s="29">
        <f>'[1]1 категория!!!!!!!!!!!!!!!'!Y35</f>
        <v>36830</v>
      </c>
      <c r="C17" s="29">
        <v>10000</v>
      </c>
      <c r="D17" s="31">
        <f>B17/C17</f>
        <v>3.6829999999999998</v>
      </c>
      <c r="E17" s="30">
        <f>$E$9*D17*12</f>
        <v>565355.23199999996</v>
      </c>
      <c r="F17" s="31">
        <f>E17*$F$9</f>
        <v>171189.56424959999</v>
      </c>
      <c r="G17" s="31">
        <f>E17*$G$9</f>
        <v>12777.028243199999</v>
      </c>
      <c r="H17" s="31">
        <f>E17*$H$9</f>
        <v>15264.591263999999</v>
      </c>
      <c r="I17" s="31">
        <f>E17*$I$9</f>
        <v>268543.7352</v>
      </c>
      <c r="J17" s="31">
        <f>E17+F17+G17+H17+I17</f>
        <v>1033130.1509568</v>
      </c>
      <c r="K17" s="31">
        <f>J17*$K$9</f>
        <v>3099.3904528704002</v>
      </c>
      <c r="L17" s="32">
        <f>J17+K17</f>
        <v>1036229.5414096704</v>
      </c>
      <c r="M17" s="31">
        <f>L17*$M$9</f>
        <v>207245.9082819341</v>
      </c>
      <c r="N17" s="32">
        <f>L17+M17</f>
        <v>1243475.4496916044</v>
      </c>
      <c r="O17" s="31">
        <f>N17/$E$5/12</f>
        <v>0.43456698614230055</v>
      </c>
      <c r="P17" s="27">
        <f>(0.43*1.055)*1.045</f>
        <v>0.47406424999999991</v>
      </c>
    </row>
    <row r="18" spans="1:16" ht="20.100000000000001" customHeight="1" x14ac:dyDescent="0.2">
      <c r="A18" s="33" t="s">
        <v>22</v>
      </c>
      <c r="B18" s="32"/>
      <c r="C18" s="32"/>
      <c r="D18" s="32">
        <f>SUM(D13:D17)</f>
        <v>19.597884336875246</v>
      </c>
      <c r="E18" s="32">
        <f t="shared" ref="E18:O18" si="1">SUM(E13:E17)</f>
        <v>3008353.6372476975</v>
      </c>
      <c r="F18" s="32">
        <f t="shared" si="1"/>
        <v>910929.48135860288</v>
      </c>
      <c r="G18" s="32">
        <f t="shared" si="1"/>
        <v>67988.792201797958</v>
      </c>
      <c r="H18" s="32">
        <f t="shared" si="1"/>
        <v>81225.548205687839</v>
      </c>
      <c r="I18" s="32">
        <f t="shared" si="1"/>
        <v>1428967.9776926565</v>
      </c>
      <c r="J18" s="32">
        <f t="shared" si="1"/>
        <v>5497465.4367064433</v>
      </c>
      <c r="K18" s="32">
        <f t="shared" si="1"/>
        <v>16492.396310119329</v>
      </c>
      <c r="L18" s="32">
        <f t="shared" si="1"/>
        <v>5513957.8330165623</v>
      </c>
      <c r="M18" s="32">
        <f t="shared" si="1"/>
        <v>1102791.5666033127</v>
      </c>
      <c r="N18" s="32">
        <f t="shared" si="1"/>
        <v>6616749.3996198755</v>
      </c>
      <c r="O18" s="32">
        <f t="shared" si="1"/>
        <v>2.3124066063104198</v>
      </c>
      <c r="P18" s="27">
        <f>P13+P14+P15+P16+P17</f>
        <v>2.5853299999999999</v>
      </c>
    </row>
    <row r="19" spans="1:16" ht="20.100000000000001" customHeight="1" x14ac:dyDescent="0.25">
      <c r="A19" s="172" t="s">
        <v>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34"/>
    </row>
    <row r="20" spans="1:16" ht="45" customHeight="1" x14ac:dyDescent="0.25">
      <c r="A20" s="28" t="s">
        <v>24</v>
      </c>
      <c r="B20" s="29">
        <f>'[1]1 категория!!!!!!!!!!!!!!!'!N35</f>
        <v>27739.8</v>
      </c>
      <c r="C20" s="29">
        <f>B20/D20</f>
        <v>1182.9491389661</v>
      </c>
      <c r="D20" s="32">
        <f>'[1]1 категория!!!!!!!!!!!!!!!'!P35</f>
        <v>23.449697950872714</v>
      </c>
      <c r="E20" s="30">
        <f>E9*D20*12</f>
        <v>3599622.4342507655</v>
      </c>
      <c r="F20" s="31">
        <f>E20*F9</f>
        <v>1089965.6730911317</v>
      </c>
      <c r="G20" s="31">
        <f>E20*G9</f>
        <v>81351.467014067297</v>
      </c>
      <c r="H20" s="31">
        <f>E20*H9</f>
        <v>97189.80572477066</v>
      </c>
      <c r="I20" s="31">
        <f>E20*I9</f>
        <v>1709820.6562691135</v>
      </c>
      <c r="J20" s="31">
        <f>E20+F20+G20+H20+I20</f>
        <v>6577950.0363498479</v>
      </c>
      <c r="K20" s="31">
        <f>J20*K9</f>
        <v>19733.850109049545</v>
      </c>
      <c r="L20" s="31">
        <f>J20+K20</f>
        <v>6597683.886458897</v>
      </c>
      <c r="M20" s="31">
        <f>L20*M9</f>
        <v>1319536.7772917794</v>
      </c>
      <c r="N20" s="32">
        <f>L20+M20</f>
        <v>7917220.6637506764</v>
      </c>
      <c r="O20" s="31">
        <f>N20/$E$5/12</f>
        <v>2.7668923606999827</v>
      </c>
      <c r="P20" s="31">
        <f>(2.86*1.055)*1.045</f>
        <v>3.1530784999999995</v>
      </c>
    </row>
    <row r="21" spans="1:16" ht="20.100000000000001" customHeight="1" x14ac:dyDescent="0.25">
      <c r="A21" s="33" t="s">
        <v>25</v>
      </c>
      <c r="B21" s="29">
        <f>'[1]1 категория!!!!!!!!!!!!!!!'!S35</f>
        <v>10015</v>
      </c>
      <c r="C21" s="29">
        <v>600</v>
      </c>
      <c r="D21" s="32">
        <f>B21/C21</f>
        <v>16.691666666666666</v>
      </c>
      <c r="E21" s="35">
        <f>E9*D21*12</f>
        <v>2562237.5999999996</v>
      </c>
      <c r="F21" s="31">
        <f>$E$21*F9</f>
        <v>775845.54527999996</v>
      </c>
      <c r="G21" s="31">
        <f>$E$21*G9</f>
        <v>57906.569759999991</v>
      </c>
      <c r="H21" s="31">
        <f>$E$21*H9</f>
        <v>69180.415199999989</v>
      </c>
      <c r="I21" s="31">
        <f>$E$21*I9</f>
        <v>1217062.8599999999</v>
      </c>
      <c r="J21" s="31">
        <f>E21+F21+G21+H21+I21</f>
        <v>4682232.9902400002</v>
      </c>
      <c r="K21" s="31">
        <f>J21*K9</f>
        <v>14046.698970720001</v>
      </c>
      <c r="L21" s="31">
        <f>J21+K21</f>
        <v>4696279.6892107204</v>
      </c>
      <c r="M21" s="31">
        <f>L21*M9</f>
        <v>939255.93784214417</v>
      </c>
      <c r="N21" s="32">
        <f>L21+M21</f>
        <v>5635535.6270528641</v>
      </c>
      <c r="O21" s="31">
        <f>N21/$E$5/12</f>
        <v>1.9694942375849129</v>
      </c>
      <c r="P21" s="31">
        <f>(2.03*1.055)*1.045</f>
        <v>2.2380242499999996</v>
      </c>
    </row>
    <row r="22" spans="1:16" ht="20.100000000000001" customHeight="1" x14ac:dyDescent="0.25">
      <c r="A22" s="33" t="s">
        <v>26</v>
      </c>
      <c r="B22" s="36"/>
      <c r="C22" s="36"/>
      <c r="D22" s="36"/>
      <c r="E22" s="35">
        <f t="shared" ref="E22:N22" si="2">E21+E18+E20</f>
        <v>9170213.6714984626</v>
      </c>
      <c r="F22" s="35">
        <f t="shared" si="2"/>
        <v>2776740.6997297346</v>
      </c>
      <c r="G22" s="35">
        <f t="shared" si="2"/>
        <v>207246.82897586527</v>
      </c>
      <c r="H22" s="35">
        <f t="shared" si="2"/>
        <v>247595.76913045847</v>
      </c>
      <c r="I22" s="35">
        <f t="shared" si="2"/>
        <v>4355851.4939617701</v>
      </c>
      <c r="J22" s="35">
        <f t="shared" si="2"/>
        <v>16757648.46329629</v>
      </c>
      <c r="K22" s="35">
        <f t="shared" si="2"/>
        <v>50272.945389888875</v>
      </c>
      <c r="L22" s="35">
        <f t="shared" si="2"/>
        <v>16807921.40868618</v>
      </c>
      <c r="M22" s="35">
        <f t="shared" si="2"/>
        <v>3361584.2817372363</v>
      </c>
      <c r="N22" s="35">
        <f t="shared" si="2"/>
        <v>20169505.690423414</v>
      </c>
      <c r="O22" s="35">
        <f>O21+O18+O20</f>
        <v>7.0487932045953148</v>
      </c>
      <c r="P22" s="31">
        <f>P18+P20+P21</f>
        <v>7.976432749999999</v>
      </c>
    </row>
    <row r="23" spans="1:16" ht="20.100000000000001" customHeight="1" x14ac:dyDescent="0.25">
      <c r="A23" s="33" t="s">
        <v>27</v>
      </c>
      <c r="B23" s="37" t="s">
        <v>28</v>
      </c>
      <c r="C23" s="38">
        <f>'[1]1 категория!!!!!!!!!!!!!!!'!AD35</f>
        <v>23095</v>
      </c>
      <c r="D23" s="174"/>
      <c r="E23" s="175"/>
      <c r="F23" s="175"/>
      <c r="G23" s="175"/>
      <c r="H23" s="175"/>
      <c r="I23" s="175"/>
      <c r="J23" s="175"/>
      <c r="K23" s="176"/>
      <c r="L23" s="30">
        <f>C23*0.5*12</f>
        <v>138570</v>
      </c>
      <c r="M23" s="30">
        <f>L23*0.2</f>
        <v>27714</v>
      </c>
      <c r="N23" s="30">
        <f>SUM(L23:M23)</f>
        <v>166284</v>
      </c>
      <c r="O23" s="35">
        <f>N23/E5/12</f>
        <v>5.8112556015165372E-2</v>
      </c>
      <c r="P23" s="31">
        <f>((O23*1.04)*1.055)*1.045</f>
        <v>6.6630345800532217E-2</v>
      </c>
    </row>
    <row r="24" spans="1:16" ht="20.100000000000001" customHeight="1" x14ac:dyDescent="0.25">
      <c r="A24" s="33" t="s">
        <v>29</v>
      </c>
      <c r="B24" s="37" t="s">
        <v>30</v>
      </c>
      <c r="C24" s="38">
        <f>'[1]1 категория!!!!!!!!!!!!!!!'!AD35</f>
        <v>23095</v>
      </c>
      <c r="D24" s="174"/>
      <c r="E24" s="175"/>
      <c r="F24" s="175"/>
      <c r="G24" s="175"/>
      <c r="H24" s="175"/>
      <c r="I24" s="175"/>
      <c r="J24" s="175"/>
      <c r="K24" s="176"/>
      <c r="L24" s="30">
        <v>58000</v>
      </c>
      <c r="M24" s="30">
        <f>L24*0.2</f>
        <v>11600</v>
      </c>
      <c r="N24" s="30">
        <f>SUM(L24:M24)</f>
        <v>69600</v>
      </c>
      <c r="O24" s="35">
        <f>N24/E5/12</f>
        <v>2.4323650493466058E-2</v>
      </c>
      <c r="P24" s="31">
        <f>((O24*1.04)*1.055)*1.045</f>
        <v>2.7888865240895348E-2</v>
      </c>
    </row>
    <row r="25" spans="1:16" s="3" customFormat="1" ht="20.100000000000001" customHeight="1" x14ac:dyDescent="0.2">
      <c r="A25" s="39"/>
      <c r="B25" s="40"/>
      <c r="C25" s="40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ht="20.100000000000001" hidden="1" customHeight="1" x14ac:dyDescent="0.25">
      <c r="A26" s="157" t="s">
        <v>2</v>
      </c>
      <c r="B26" s="185" t="s">
        <v>3</v>
      </c>
      <c r="C26" s="185" t="s">
        <v>4</v>
      </c>
      <c r="D26" s="186" t="s">
        <v>5</v>
      </c>
      <c r="E26" s="161" t="s">
        <v>31</v>
      </c>
      <c r="F26" s="141" t="s">
        <v>7</v>
      </c>
      <c r="G26" s="158" t="s">
        <v>8</v>
      </c>
      <c r="H26" s="158" t="s">
        <v>9</v>
      </c>
      <c r="I26" s="158" t="s">
        <v>32</v>
      </c>
      <c r="J26" s="183" t="s">
        <v>11</v>
      </c>
      <c r="K26" s="158" t="s">
        <v>12</v>
      </c>
      <c r="L26" s="184" t="s">
        <v>33</v>
      </c>
      <c r="M26" s="158" t="s">
        <v>14</v>
      </c>
      <c r="N26" s="178" t="s">
        <v>34</v>
      </c>
      <c r="O26" s="144" t="s">
        <v>16</v>
      </c>
      <c r="P26" s="144" t="s">
        <v>16</v>
      </c>
    </row>
    <row r="27" spans="1:16" ht="20.100000000000001" hidden="1" customHeight="1" x14ac:dyDescent="0.25">
      <c r="A27" s="157"/>
      <c r="B27" s="185"/>
      <c r="C27" s="185"/>
      <c r="D27" s="186"/>
      <c r="E27" s="162"/>
      <c r="F27" s="142"/>
      <c r="G27" s="182"/>
      <c r="H27" s="159"/>
      <c r="I27" s="159"/>
      <c r="J27" s="183"/>
      <c r="K27" s="159"/>
      <c r="L27" s="184"/>
      <c r="M27" s="159"/>
      <c r="N27" s="178"/>
      <c r="O27" s="144"/>
      <c r="P27" s="144"/>
    </row>
    <row r="28" spans="1:16" ht="20.100000000000001" hidden="1" customHeight="1" x14ac:dyDescent="0.25">
      <c r="A28" s="157"/>
      <c r="B28" s="185"/>
      <c r="C28" s="185"/>
      <c r="D28" s="186"/>
      <c r="E28" s="43">
        <v>15724</v>
      </c>
      <c r="F28" s="44">
        <v>0.30280000000000001</v>
      </c>
      <c r="G28" s="45">
        <v>2.2599999999999999E-2</v>
      </c>
      <c r="H28" s="22">
        <v>2.7E-2</v>
      </c>
      <c r="I28" s="22">
        <v>0.47499999999999998</v>
      </c>
      <c r="J28" s="183"/>
      <c r="K28" s="22">
        <v>3.0000000000000001E-3</v>
      </c>
      <c r="L28" s="184"/>
      <c r="M28" s="23">
        <v>0.2</v>
      </c>
      <c r="N28" s="178"/>
      <c r="O28" s="144"/>
      <c r="P28" s="144"/>
    </row>
    <row r="29" spans="1:16" ht="20.100000000000001" hidden="1" customHeight="1" x14ac:dyDescent="0.2">
      <c r="A29" s="157"/>
      <c r="B29" s="46">
        <v>1</v>
      </c>
      <c r="C29" s="46">
        <v>2</v>
      </c>
      <c r="D29" s="46">
        <v>3</v>
      </c>
      <c r="E29" s="46">
        <v>4</v>
      </c>
      <c r="F29" s="46">
        <v>5</v>
      </c>
      <c r="G29" s="46">
        <v>6</v>
      </c>
      <c r="H29" s="46">
        <v>7</v>
      </c>
      <c r="I29" s="46">
        <v>8</v>
      </c>
      <c r="J29" s="46">
        <v>9</v>
      </c>
      <c r="K29" s="47">
        <v>10</v>
      </c>
      <c r="L29" s="46">
        <v>11</v>
      </c>
      <c r="M29" s="47">
        <v>12</v>
      </c>
      <c r="N29" s="46">
        <v>13</v>
      </c>
      <c r="O29" s="46">
        <v>14</v>
      </c>
      <c r="P29" s="46">
        <v>14</v>
      </c>
    </row>
    <row r="30" spans="1:16" ht="20.100000000000001" customHeight="1" x14ac:dyDescent="0.25">
      <c r="A30" s="26" t="s">
        <v>114</v>
      </c>
      <c r="B30" s="29">
        <f>'[1]1 категория!!!!!!!!!!!!!!!'!M35</f>
        <v>8636</v>
      </c>
      <c r="C30" s="29">
        <v>2504</v>
      </c>
      <c r="D30" s="31">
        <f>B30/C30*0.2</f>
        <v>0.68977635782747604</v>
      </c>
      <c r="E30" s="30">
        <f>D30*$E$28*12</f>
        <v>130152.5214057508</v>
      </c>
      <c r="F30" s="31">
        <f>E30*$F$28</f>
        <v>39410.183481661341</v>
      </c>
      <c r="G30" s="31">
        <f>E30*$G$28</f>
        <v>2941.446983769968</v>
      </c>
      <c r="H30" s="31">
        <f>E30*$H$28</f>
        <v>3514.1180779552715</v>
      </c>
      <c r="I30" s="31">
        <f>E30*$I$28</f>
        <v>61822.447667731627</v>
      </c>
      <c r="J30" s="31">
        <f>SUM(E30:I30)</f>
        <v>237840.71761686902</v>
      </c>
      <c r="K30" s="31">
        <f>J30*$K$28</f>
        <v>713.52215285060709</v>
      </c>
      <c r="L30" s="31">
        <f>SUM(J30:K30)</f>
        <v>238554.23976971963</v>
      </c>
      <c r="M30" s="31">
        <f>L30*$M$28</f>
        <v>47710.847953943929</v>
      </c>
      <c r="N30" s="31">
        <f>SUM(L30:M30)</f>
        <v>286265.08772366354</v>
      </c>
      <c r="O30" s="31">
        <f>N30/$E$5</f>
        <v>1.2005193003916885</v>
      </c>
      <c r="P30" s="31">
        <f>(1.24*1.055)*1.045</f>
        <v>1.3670689999999996</v>
      </c>
    </row>
    <row r="31" spans="1:16" ht="20.100000000000001" customHeight="1" x14ac:dyDescent="0.25">
      <c r="A31" s="26" t="s">
        <v>115</v>
      </c>
      <c r="B31" s="48">
        <f>'[1]1 категория!!!!!!!!!!!!!!!'!L35</f>
        <v>0</v>
      </c>
      <c r="C31" s="29">
        <v>2504</v>
      </c>
      <c r="D31" s="31">
        <f>B31/C31*0.59*4</f>
        <v>0</v>
      </c>
      <c r="E31" s="30">
        <f>D31*$E$28</f>
        <v>0</v>
      </c>
      <c r="F31" s="31">
        <f>E31*$F$28</f>
        <v>0</v>
      </c>
      <c r="G31" s="31">
        <f>E31*$G$28</f>
        <v>0</v>
      </c>
      <c r="H31" s="31">
        <f>E31*$H$28</f>
        <v>0</v>
      </c>
      <c r="I31" s="31">
        <f>E31*$I$28</f>
        <v>0</v>
      </c>
      <c r="J31" s="31">
        <f>SUM(E31:I31)</f>
        <v>0</v>
      </c>
      <c r="K31" s="31">
        <f>J31*$K$28</f>
        <v>0</v>
      </c>
      <c r="L31" s="31">
        <f>SUM(J31:K31)</f>
        <v>0</v>
      </c>
      <c r="M31" s="31">
        <f>L31*$M$28</f>
        <v>0</v>
      </c>
      <c r="N31" s="31">
        <f>SUM(L31:M31)</f>
        <v>0</v>
      </c>
      <c r="O31" s="31">
        <f>N31/$E$5</f>
        <v>0</v>
      </c>
      <c r="P31" s="31">
        <f>(O31*1.04)*1.055</f>
        <v>0</v>
      </c>
    </row>
    <row r="32" spans="1:16" ht="20.100000000000001" customHeight="1" x14ac:dyDescent="0.25">
      <c r="A32" s="33" t="s">
        <v>35</v>
      </c>
      <c r="B32" s="33"/>
      <c r="C32" s="33"/>
      <c r="D32" s="134">
        <f>SUM(D30:D31)</f>
        <v>0.68977635782747604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34">
        <f>SUM(O30:O31)</f>
        <v>1.2005193003916885</v>
      </c>
      <c r="P32" s="31">
        <f>(1.24*1.055)*1.045</f>
        <v>1.3670689999999996</v>
      </c>
    </row>
    <row r="33" spans="1:17" ht="20.100000000000001" customHeight="1" x14ac:dyDescent="0.25">
      <c r="A33" s="179" t="s">
        <v>36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4"/>
    </row>
    <row r="34" spans="1:17" ht="20.100000000000001" hidden="1" customHeight="1" x14ac:dyDescent="0.25">
      <c r="A34" s="157" t="s">
        <v>2</v>
      </c>
      <c r="B34" s="158" t="s">
        <v>3</v>
      </c>
      <c r="C34" s="158" t="s">
        <v>4</v>
      </c>
      <c r="D34" s="158" t="s">
        <v>5</v>
      </c>
      <c r="E34" s="161" t="s">
        <v>31</v>
      </c>
      <c r="F34" s="163" t="s">
        <v>7</v>
      </c>
      <c r="G34" s="165" t="s">
        <v>8</v>
      </c>
      <c r="H34" s="165" t="s">
        <v>9</v>
      </c>
      <c r="I34" s="165" t="s">
        <v>32</v>
      </c>
      <c r="J34" s="158" t="s">
        <v>11</v>
      </c>
      <c r="K34" s="158" t="s">
        <v>12</v>
      </c>
      <c r="L34" s="167" t="s">
        <v>37</v>
      </c>
      <c r="M34" s="158" t="s">
        <v>14</v>
      </c>
      <c r="N34" s="167" t="s">
        <v>15</v>
      </c>
      <c r="O34" s="141" t="s">
        <v>16</v>
      </c>
      <c r="P34" s="141" t="s">
        <v>16</v>
      </c>
    </row>
    <row r="35" spans="1:17" ht="20.100000000000001" hidden="1" customHeight="1" x14ac:dyDescent="0.25">
      <c r="A35" s="157"/>
      <c r="B35" s="159"/>
      <c r="C35" s="159"/>
      <c r="D35" s="159"/>
      <c r="E35" s="162"/>
      <c r="F35" s="164"/>
      <c r="G35" s="166"/>
      <c r="H35" s="177"/>
      <c r="I35" s="177"/>
      <c r="J35" s="159"/>
      <c r="K35" s="159"/>
      <c r="L35" s="168"/>
      <c r="M35" s="159"/>
      <c r="N35" s="168"/>
      <c r="O35" s="142"/>
      <c r="P35" s="142"/>
    </row>
    <row r="36" spans="1:17" ht="20.100000000000001" hidden="1" customHeight="1" x14ac:dyDescent="0.25">
      <c r="A36" s="157"/>
      <c r="B36" s="160"/>
      <c r="C36" s="160"/>
      <c r="D36" s="160"/>
      <c r="E36" s="18">
        <v>15458</v>
      </c>
      <c r="F36" s="19">
        <v>0.30280000000000001</v>
      </c>
      <c r="G36" s="50">
        <v>0.19400000000000001</v>
      </c>
      <c r="H36" s="21">
        <v>0.16</v>
      </c>
      <c r="I36" s="21">
        <v>0.47499999999999998</v>
      </c>
      <c r="J36" s="160"/>
      <c r="K36" s="22">
        <v>3.0000000000000001E-3</v>
      </c>
      <c r="L36" s="169"/>
      <c r="M36" s="23">
        <v>0.2</v>
      </c>
      <c r="N36" s="169"/>
      <c r="O36" s="143"/>
      <c r="P36" s="143"/>
    </row>
    <row r="37" spans="1:17" ht="20.100000000000001" hidden="1" customHeight="1" x14ac:dyDescent="0.2">
      <c r="A37" s="157"/>
      <c r="B37" s="24">
        <v>1</v>
      </c>
      <c r="C37" s="24">
        <v>2</v>
      </c>
      <c r="D37" s="24">
        <v>3</v>
      </c>
      <c r="E37" s="24">
        <v>4</v>
      </c>
      <c r="F37" s="24">
        <v>5</v>
      </c>
      <c r="G37" s="24">
        <v>6</v>
      </c>
      <c r="H37" s="24">
        <v>7</v>
      </c>
      <c r="I37" s="24">
        <v>8</v>
      </c>
      <c r="J37" s="24">
        <v>9</v>
      </c>
      <c r="K37" s="24">
        <v>10</v>
      </c>
      <c r="L37" s="24">
        <v>11</v>
      </c>
      <c r="M37" s="24">
        <v>12</v>
      </c>
      <c r="N37" s="24">
        <v>13</v>
      </c>
      <c r="O37" s="24">
        <v>14</v>
      </c>
      <c r="P37" s="24">
        <v>14</v>
      </c>
      <c r="Q37" s="4">
        <f>D38+D54+D65+D69</f>
        <v>45.180000000000007</v>
      </c>
    </row>
    <row r="38" spans="1:17" ht="20.100000000000001" customHeight="1" x14ac:dyDescent="0.25">
      <c r="A38" s="51" t="s">
        <v>38</v>
      </c>
      <c r="B38" s="52" t="s">
        <v>18</v>
      </c>
      <c r="C38" s="52" t="s">
        <v>18</v>
      </c>
      <c r="D38" s="53">
        <f>(('[1]1 категория!!!!!!!!!!!!!!!'!K35))+4-D54-D65-D69</f>
        <v>27.099000000000004</v>
      </c>
      <c r="E38" s="52">
        <f>D38*$E$36*12</f>
        <v>5026756.1040000003</v>
      </c>
      <c r="F38" s="52">
        <f>E38*$F$36</f>
        <v>1522101.7482912003</v>
      </c>
      <c r="G38" s="52">
        <f>E38*$G$36</f>
        <v>975190.68417600007</v>
      </c>
      <c r="H38" s="52">
        <f>E38*$H$36</f>
        <v>804280.97664000001</v>
      </c>
      <c r="I38" s="52">
        <f>E38*$I$36</f>
        <v>2387709.1494</v>
      </c>
      <c r="J38" s="52">
        <f>SUM(E38:I38)</f>
        <v>10716038.662507201</v>
      </c>
      <c r="K38" s="52">
        <f>J38*$K$36</f>
        <v>32148.115987521604</v>
      </c>
      <c r="L38" s="52">
        <f>SUM(J38:K38)</f>
        <v>10748186.778494723</v>
      </c>
      <c r="M38" s="52">
        <f>L38*$M$36</f>
        <v>2149637.3556989445</v>
      </c>
      <c r="N38" s="52">
        <f>SUM(L38:M38)</f>
        <v>12897824.134193668</v>
      </c>
      <c r="O38" s="32">
        <f>N38/$E$5/12</f>
        <v>4.5075023903206644</v>
      </c>
      <c r="P38" s="31">
        <f>(4.66*1.055)*1.045</f>
        <v>5.1375334999999991</v>
      </c>
      <c r="Q38" s="4"/>
    </row>
    <row r="39" spans="1:17" ht="20.100000000000001" customHeight="1" x14ac:dyDescent="0.25">
      <c r="A39" s="179" t="s">
        <v>39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34"/>
      <c r="Q39" s="4"/>
    </row>
    <row r="40" spans="1:17" ht="30" customHeight="1" x14ac:dyDescent="0.25">
      <c r="A40" s="190" t="s">
        <v>40</v>
      </c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54"/>
      <c r="Q40" s="4"/>
    </row>
    <row r="41" spans="1:17" ht="20.100000000000001" customHeight="1" x14ac:dyDescent="0.25">
      <c r="A41" s="55" t="s">
        <v>41</v>
      </c>
      <c r="B41" s="187" t="s">
        <v>42</v>
      </c>
      <c r="C41" s="188"/>
      <c r="D41" s="55">
        <v>5.0999999999999996</v>
      </c>
      <c r="E41" s="31">
        <f>D41*E36*12</f>
        <v>946029.59999999986</v>
      </c>
      <c r="F41" s="31">
        <f>E41*$F$36</f>
        <v>286457.76287999999</v>
      </c>
      <c r="G41" s="31">
        <f>E41*$G$36</f>
        <v>183529.74239999999</v>
      </c>
      <c r="H41" s="31">
        <f>E41*$H$36</f>
        <v>151364.73599999998</v>
      </c>
      <c r="I41" s="31">
        <f>E41*$I$36</f>
        <v>449364.05999999994</v>
      </c>
      <c r="J41" s="31">
        <f>SUM(E41:I41)</f>
        <v>2016745.9012799999</v>
      </c>
      <c r="K41" s="31">
        <f>J41*$K$36</f>
        <v>6050.23770384</v>
      </c>
      <c r="L41" s="31">
        <f>SUM(J41:K41)</f>
        <v>2022796.1389838399</v>
      </c>
      <c r="M41" s="31">
        <f>L41*$M$36</f>
        <v>404559.22779676801</v>
      </c>
      <c r="N41" s="31">
        <f>SUM(L41:M41)</f>
        <v>2427355.366780608</v>
      </c>
      <c r="O41" s="134">
        <f>N41/$E$5/12</f>
        <v>0.84830666041681912</v>
      </c>
      <c r="P41" s="37">
        <v>0.98</v>
      </c>
    </row>
    <row r="42" spans="1:17" ht="20.100000000000001" customHeight="1" x14ac:dyDescent="0.25">
      <c r="A42" s="55" t="s">
        <v>43</v>
      </c>
      <c r="B42" s="187" t="s">
        <v>42</v>
      </c>
      <c r="C42" s="188"/>
      <c r="D42" s="55">
        <v>0.108</v>
      </c>
      <c r="E42" s="56">
        <f>D42*E36*12</f>
        <v>20033.567999999999</v>
      </c>
      <c r="F42" s="56">
        <f>E42*$F$36</f>
        <v>6066.1643904000002</v>
      </c>
      <c r="G42" s="56">
        <f>E42*$G$36</f>
        <v>3886.5121920000001</v>
      </c>
      <c r="H42" s="56">
        <f>E42*$H$36</f>
        <v>3205.3708799999999</v>
      </c>
      <c r="I42" s="56">
        <f>E42*$I$36</f>
        <v>9515.9447999999993</v>
      </c>
      <c r="J42" s="56">
        <f>SUM(E42:I42)</f>
        <v>42707.560262400002</v>
      </c>
      <c r="K42" s="56">
        <f>J42*$K$36</f>
        <v>128.12268078720001</v>
      </c>
      <c r="L42" s="56">
        <f>SUM(J42:K42)</f>
        <v>42835.682943187203</v>
      </c>
      <c r="M42" s="56">
        <f>L42*$M$36</f>
        <v>8567.1365886374406</v>
      </c>
      <c r="N42" s="56">
        <f>SUM(L42:M42)</f>
        <v>51402.819531824643</v>
      </c>
      <c r="O42" s="57">
        <f>N42/$E$5/12</f>
        <v>1.796414104412088E-2</v>
      </c>
      <c r="P42" s="37">
        <f>((O42*1.04)*1.055)*1.045</f>
        <v>2.0597217053521851E-2</v>
      </c>
    </row>
    <row r="43" spans="1:17" s="5" customFormat="1" ht="20.100000000000001" customHeight="1" x14ac:dyDescent="0.25">
      <c r="A43" s="58" t="s">
        <v>44</v>
      </c>
      <c r="B43" s="187" t="s">
        <v>30</v>
      </c>
      <c r="C43" s="188"/>
      <c r="D43" s="55">
        <v>0.50800000000000001</v>
      </c>
      <c r="E43" s="31">
        <f>D43*E36*12</f>
        <v>94231.967999999993</v>
      </c>
      <c r="F43" s="31">
        <f>E43*$F$36</f>
        <v>28533.4399104</v>
      </c>
      <c r="G43" s="31">
        <f>E43*$G$36</f>
        <v>18281.001791999999</v>
      </c>
      <c r="H43" s="31">
        <f>E43*$H$36</f>
        <v>15077.114879999999</v>
      </c>
      <c r="I43" s="31">
        <f>E43*$I$36</f>
        <v>44760.184799999995</v>
      </c>
      <c r="J43" s="31">
        <f>SUM(E43:I43)</f>
        <v>200883.7093824</v>
      </c>
      <c r="K43" s="31">
        <f>J43*$K$36</f>
        <v>602.65112814719998</v>
      </c>
      <c r="L43" s="31">
        <f>SUM(J43:K43)</f>
        <v>201486.36051054721</v>
      </c>
      <c r="M43" s="31">
        <f>L43*$M$36</f>
        <v>40297.272102109448</v>
      </c>
      <c r="N43" s="31">
        <f>SUM(L43:M43)</f>
        <v>241783.63261265666</v>
      </c>
      <c r="O43" s="134">
        <f>N43/$E$5/12</f>
        <v>8.4497996763087099E-2</v>
      </c>
      <c r="P43" s="37">
        <f>0.08*1.045</f>
        <v>8.3599999999999994E-2</v>
      </c>
    </row>
    <row r="44" spans="1:17" s="5" customFormat="1" ht="35.25" customHeight="1" x14ac:dyDescent="0.25">
      <c r="A44" s="189" t="s">
        <v>45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37"/>
    </row>
    <row r="45" spans="1:17" s="5" customFormat="1" ht="20.100000000000001" customHeight="1" x14ac:dyDescent="0.25">
      <c r="A45" s="58" t="s">
        <v>46</v>
      </c>
      <c r="B45" s="187" t="s">
        <v>30</v>
      </c>
      <c r="C45" s="188"/>
      <c r="D45" s="55">
        <v>4.8000000000000001E-2</v>
      </c>
      <c r="E45" s="31">
        <f>D45*$E$36*12</f>
        <v>8903.8080000000009</v>
      </c>
      <c r="F45" s="31">
        <f>E45*$F$36</f>
        <v>2696.0730624000003</v>
      </c>
      <c r="G45" s="31">
        <f>E45*$G$36</f>
        <v>1727.3387520000001</v>
      </c>
      <c r="H45" s="31">
        <f>E45*$H$36</f>
        <v>1424.6092800000001</v>
      </c>
      <c r="I45" s="31">
        <f>E45*$I$36</f>
        <v>4229.3087999999998</v>
      </c>
      <c r="J45" s="31">
        <f>SUM(E45:I45)</f>
        <v>18981.137894400003</v>
      </c>
      <c r="K45" s="31">
        <f>J45*$K$36</f>
        <v>56.943413683200006</v>
      </c>
      <c r="L45" s="31">
        <f>SUM(J45:K45)</f>
        <v>19038.081308083201</v>
      </c>
      <c r="M45" s="31">
        <f>L45*$M$36</f>
        <v>3807.6162616166403</v>
      </c>
      <c r="N45" s="31">
        <f>SUM(L45:M45)</f>
        <v>22845.697569699842</v>
      </c>
      <c r="O45" s="37">
        <f>N45/$E$5/12</f>
        <v>7.9840626862759459E-3</v>
      </c>
      <c r="P45" s="37">
        <f>((O45*1.04)*1.055)*1.045</f>
        <v>9.1543186904541555E-3</v>
      </c>
    </row>
    <row r="46" spans="1:17" s="5" customFormat="1" ht="20.100000000000001" customHeight="1" x14ac:dyDescent="0.25">
      <c r="A46" s="58" t="s">
        <v>47</v>
      </c>
      <c r="B46" s="187" t="s">
        <v>30</v>
      </c>
      <c r="C46" s="188"/>
      <c r="D46" s="55">
        <v>2.8000000000000001E-2</v>
      </c>
      <c r="E46" s="31">
        <f>D46*$E$36*12</f>
        <v>5193.8879999999999</v>
      </c>
      <c r="F46" s="31">
        <f>E46*$F$36</f>
        <v>1572.7092864000001</v>
      </c>
      <c r="G46" s="31">
        <f>E46*$G$36</f>
        <v>1007.614272</v>
      </c>
      <c r="H46" s="31">
        <f>E46*$H$36</f>
        <v>831.02207999999996</v>
      </c>
      <c r="I46" s="31">
        <f>E46*$I$36</f>
        <v>2467.0967999999998</v>
      </c>
      <c r="J46" s="31">
        <f>SUM(E46:I46)</f>
        <v>11072.330438399998</v>
      </c>
      <c r="K46" s="31">
        <f>J46*$K$36</f>
        <v>33.216991315199998</v>
      </c>
      <c r="L46" s="31">
        <f>SUM(J46:K46)</f>
        <v>11105.547429715198</v>
      </c>
      <c r="M46" s="31">
        <f>L46*$M$36</f>
        <v>2221.1094859430395</v>
      </c>
      <c r="N46" s="31">
        <f>SUM(L46:M46)</f>
        <v>13326.656915658237</v>
      </c>
      <c r="O46" s="37">
        <f>N46/$E$5/12</f>
        <v>4.6573699003276342E-3</v>
      </c>
      <c r="P46" s="37">
        <f>((O46*1.04)*1.055)*1.045</f>
        <v>5.3400192360982561E-3</v>
      </c>
    </row>
    <row r="47" spans="1:17" s="5" customFormat="1" ht="20.100000000000001" customHeight="1" x14ac:dyDescent="0.25">
      <c r="A47" s="58" t="s">
        <v>48</v>
      </c>
      <c r="B47" s="187" t="s">
        <v>30</v>
      </c>
      <c r="C47" s="188"/>
      <c r="D47" s="55">
        <v>0.31900000000000001</v>
      </c>
      <c r="E47" s="31">
        <f>D47*$E$36*12</f>
        <v>59173.224000000002</v>
      </c>
      <c r="F47" s="31">
        <f>E47*$F$36</f>
        <v>17917.6522272</v>
      </c>
      <c r="G47" s="31">
        <f>E47*$G$36</f>
        <v>11479.605456000001</v>
      </c>
      <c r="H47" s="31">
        <f>E47*$H$36</f>
        <v>9467.7158400000008</v>
      </c>
      <c r="I47" s="31">
        <f>E47*$I$36</f>
        <v>28107.2814</v>
      </c>
      <c r="J47" s="31">
        <f>SUM(E47:I47)</f>
        <v>126145.47892320002</v>
      </c>
      <c r="K47" s="31">
        <f>J47*$K$36</f>
        <v>378.43643676960005</v>
      </c>
      <c r="L47" s="31">
        <f>SUM(J47:K47)</f>
        <v>126523.91535996961</v>
      </c>
      <c r="M47" s="31">
        <f>L47*$M$36</f>
        <v>25304.783071993923</v>
      </c>
      <c r="N47" s="31">
        <f>SUM(L47:M47)</f>
        <v>151828.69843196354</v>
      </c>
      <c r="O47" s="37">
        <f>N47/$E$5/12</f>
        <v>5.3060749935875562E-2</v>
      </c>
      <c r="P47" s="37">
        <f>((O47*1.04)*1.055)*1.045</f>
        <v>6.083807629697658E-2</v>
      </c>
      <c r="Q47" s="6"/>
    </row>
    <row r="48" spans="1:17" s="5" customFormat="1" ht="20.100000000000001" customHeight="1" x14ac:dyDescent="0.25">
      <c r="A48" s="58" t="s">
        <v>49</v>
      </c>
      <c r="B48" s="187" t="s">
        <v>30</v>
      </c>
      <c r="C48" s="188"/>
      <c r="D48" s="59">
        <v>0.128</v>
      </c>
      <c r="E48" s="31">
        <f>D48*$E$36*12</f>
        <v>23743.488000000001</v>
      </c>
      <c r="F48" s="31">
        <f>E48*$F$36</f>
        <v>7189.5281664000004</v>
      </c>
      <c r="G48" s="31">
        <f>E48*$G$36</f>
        <v>4606.236672</v>
      </c>
      <c r="H48" s="31">
        <f>E48*$H$36</f>
        <v>3798.9580800000003</v>
      </c>
      <c r="I48" s="31">
        <f>E48*$I$36</f>
        <v>11278.156800000001</v>
      </c>
      <c r="J48" s="31">
        <f>SUM(E48:I48)</f>
        <v>50616.367718399997</v>
      </c>
      <c r="K48" s="31">
        <f>J48*$K$36</f>
        <v>151.8491031552</v>
      </c>
      <c r="L48" s="31">
        <f>SUM(J48:K48)</f>
        <v>50768.216821555194</v>
      </c>
      <c r="M48" s="31">
        <f>L48*$M$36</f>
        <v>10153.643364311039</v>
      </c>
      <c r="N48" s="31">
        <f>SUM(L48:M48)</f>
        <v>60921.86018586623</v>
      </c>
      <c r="O48" s="37">
        <f>N48/$E$5/12</f>
        <v>2.1290833830069186E-2</v>
      </c>
      <c r="P48" s="37">
        <f>0.03*1.045</f>
        <v>3.1349999999999996E-2</v>
      </c>
    </row>
    <row r="49" spans="1:16" s="5" customFormat="1" ht="20.100000000000001" customHeight="1" x14ac:dyDescent="0.25">
      <c r="A49" s="58" t="s">
        <v>50</v>
      </c>
      <c r="B49" s="187" t="s">
        <v>30</v>
      </c>
      <c r="C49" s="188"/>
      <c r="D49" s="59">
        <v>0.54400000000000004</v>
      </c>
      <c r="E49" s="31">
        <f>D49*$E$36*12</f>
        <v>100909.82399999999</v>
      </c>
      <c r="F49" s="31">
        <f>E49*$F$36</f>
        <v>30555.4947072</v>
      </c>
      <c r="G49" s="31">
        <f>E49*$G$36</f>
        <v>19576.505856</v>
      </c>
      <c r="H49" s="31">
        <f>E49*$H$36</f>
        <v>16145.571839999999</v>
      </c>
      <c r="I49" s="31">
        <f>E49*$I$36</f>
        <v>47932.166399999995</v>
      </c>
      <c r="J49" s="31">
        <f>SUM(E49:I49)</f>
        <v>215119.56280319998</v>
      </c>
      <c r="K49" s="31">
        <f>J49*$K$36</f>
        <v>645.35868840959995</v>
      </c>
      <c r="L49" s="31">
        <f>SUM(J49:K49)</f>
        <v>215764.92149160957</v>
      </c>
      <c r="M49" s="31">
        <f>L49*$M$36</f>
        <v>43152.984298321913</v>
      </c>
      <c r="N49" s="31">
        <f>SUM(L49:M49)</f>
        <v>258917.90578993148</v>
      </c>
      <c r="O49" s="37">
        <f>N49/$E$5/12</f>
        <v>9.0486043777794026E-2</v>
      </c>
      <c r="P49" s="37">
        <f>((O49*1.04)*1.055)*1.045</f>
        <v>0.1037489451584804</v>
      </c>
    </row>
    <row r="50" spans="1:16" s="5" customFormat="1" ht="20.100000000000001" customHeight="1" x14ac:dyDescent="0.25">
      <c r="A50" s="189" t="s">
        <v>51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37"/>
    </row>
    <row r="51" spans="1:16" s="5" customFormat="1" ht="20.100000000000001" customHeight="1" x14ac:dyDescent="0.25">
      <c r="A51" s="58" t="s">
        <v>52</v>
      </c>
      <c r="B51" s="187" t="s">
        <v>30</v>
      </c>
      <c r="C51" s="188"/>
      <c r="D51" s="59">
        <v>1.2090000000000001</v>
      </c>
      <c r="E51" s="31">
        <f>D51*$E$36*12</f>
        <v>224264.66400000002</v>
      </c>
      <c r="F51" s="31">
        <f>E51*$F$36</f>
        <v>67907.340259200006</v>
      </c>
      <c r="G51" s="31">
        <f>E51*$G$36</f>
        <v>43507.344816000004</v>
      </c>
      <c r="H51" s="31">
        <f>E51*$H$36</f>
        <v>35882.346240000006</v>
      </c>
      <c r="I51" s="31">
        <f>E51*$I$36</f>
        <v>106525.7154</v>
      </c>
      <c r="J51" s="31">
        <f>SUM(E51:I51)</f>
        <v>478087.41071520001</v>
      </c>
      <c r="K51" s="31">
        <f>J51*$K$36</f>
        <v>1434.2622321456001</v>
      </c>
      <c r="L51" s="31">
        <f>SUM(J51:K51)</f>
        <v>479521.67294734559</v>
      </c>
      <c r="M51" s="31">
        <f>L51*$M$36</f>
        <v>95904.33458946913</v>
      </c>
      <c r="N51" s="31">
        <f>SUM(L51:M51)</f>
        <v>575426.00753681478</v>
      </c>
      <c r="O51" s="37">
        <f>N51/$E$5/12</f>
        <v>0.20109857891057539</v>
      </c>
      <c r="P51" s="37">
        <f>((O51*1.04)*1.055)*1.045</f>
        <v>0.23057440201581403</v>
      </c>
    </row>
    <row r="52" spans="1:16" s="5" customFormat="1" ht="32.25" customHeight="1" x14ac:dyDescent="0.25">
      <c r="A52" s="58" t="s">
        <v>53</v>
      </c>
      <c r="B52" s="187" t="s">
        <v>30</v>
      </c>
      <c r="C52" s="188"/>
      <c r="D52" s="59">
        <v>5.8000000000000003E-2</v>
      </c>
      <c r="E52" s="31">
        <f>D52*$E$36*12</f>
        <v>10758.768</v>
      </c>
      <c r="F52" s="31">
        <f>E52*$F$36</f>
        <v>3257.7549504000003</v>
      </c>
      <c r="G52" s="31">
        <f>E52*$G$36</f>
        <v>2087.200992</v>
      </c>
      <c r="H52" s="31">
        <f>E52*$H$36</f>
        <v>1721.4028800000001</v>
      </c>
      <c r="I52" s="31">
        <f>E52*$I$36</f>
        <v>5110.4147999999996</v>
      </c>
      <c r="J52" s="31">
        <f>SUM(E52:I52)</f>
        <v>22935.5416224</v>
      </c>
      <c r="K52" s="31">
        <f>J52*$K$36</f>
        <v>68.8066248672</v>
      </c>
      <c r="L52" s="31">
        <f>SUM(J52:K52)</f>
        <v>23004.3482472672</v>
      </c>
      <c r="M52" s="31">
        <f>L52*$M$36</f>
        <v>4600.8696494534406</v>
      </c>
      <c r="N52" s="31">
        <f>SUM(L52:M52)</f>
        <v>27605.217896720642</v>
      </c>
      <c r="O52" s="37">
        <f>N52/$E$5/12</f>
        <v>9.6474090792501022E-3</v>
      </c>
      <c r="P52" s="37">
        <f>((O52*1.04)*1.055)*1.045</f>
        <v>1.1061468417632106E-2</v>
      </c>
    </row>
    <row r="53" spans="1:16" s="5" customFormat="1" ht="20.100000000000001" customHeight="1" x14ac:dyDescent="0.25">
      <c r="A53" s="58" t="s">
        <v>54</v>
      </c>
      <c r="B53" s="187" t="s">
        <v>30</v>
      </c>
      <c r="C53" s="188"/>
      <c r="D53" s="59">
        <v>4.9000000000000002E-2</v>
      </c>
      <c r="E53" s="31">
        <f>D53*$E$36*12</f>
        <v>9089.3040000000001</v>
      </c>
      <c r="F53" s="31">
        <f>E53*$F$36</f>
        <v>2752.2412512000001</v>
      </c>
      <c r="G53" s="31">
        <f>E53*$G$36</f>
        <v>1763.3249760000001</v>
      </c>
      <c r="H53" s="31">
        <f>E53*$H$36</f>
        <v>1454.28864</v>
      </c>
      <c r="I53" s="31">
        <f>E53*$I$36</f>
        <v>4317.4193999999998</v>
      </c>
      <c r="J53" s="31">
        <f>SUM(E53:I53)</f>
        <v>19376.578267200002</v>
      </c>
      <c r="K53" s="31">
        <f>J53*$K$36</f>
        <v>58.129734801600009</v>
      </c>
      <c r="L53" s="31">
        <f>SUM(J53:K53)</f>
        <v>19434.708002001604</v>
      </c>
      <c r="M53" s="31">
        <f>L53*$M$36</f>
        <v>3886.941600400321</v>
      </c>
      <c r="N53" s="31">
        <f>SUM(L53:M53)</f>
        <v>23321.649602401925</v>
      </c>
      <c r="O53" s="37">
        <f>N53/$E$5/12</f>
        <v>8.1503973255733636E-3</v>
      </c>
      <c r="P53" s="37">
        <f>((O53*1.04)*1.05)*1.045</f>
        <v>9.3007444041047858E-3</v>
      </c>
    </row>
    <row r="54" spans="1:16" s="5" customFormat="1" ht="20.100000000000001" customHeight="1" x14ac:dyDescent="0.25">
      <c r="A54" s="60" t="s">
        <v>55</v>
      </c>
      <c r="B54" s="192"/>
      <c r="C54" s="193"/>
      <c r="D54" s="61">
        <f>D53+D52+D51+D49+D48+D46+D45+D43+D42+D41+D47</f>
        <v>8.0990000000000002</v>
      </c>
      <c r="E54" s="61">
        <f t="shared" ref="E54:N54" si="3">E53+E52+E51+E49+E48+E46+E45+E43+E42+E41+E47</f>
        <v>1502332.1039999998</v>
      </c>
      <c r="F54" s="61">
        <f t="shared" si="3"/>
        <v>454906.16109119996</v>
      </c>
      <c r="G54" s="61">
        <f t="shared" si="3"/>
        <v>291452.42817600002</v>
      </c>
      <c r="H54" s="61">
        <f t="shared" si="3"/>
        <v>240373.13663999995</v>
      </c>
      <c r="I54" s="61">
        <f t="shared" si="3"/>
        <v>713607.74939999986</v>
      </c>
      <c r="J54" s="61">
        <f t="shared" si="3"/>
        <v>3202671.5793071999</v>
      </c>
      <c r="K54" s="61">
        <f t="shared" si="3"/>
        <v>9608.0147379215996</v>
      </c>
      <c r="L54" s="61">
        <f t="shared" si="3"/>
        <v>3212279.5940451217</v>
      </c>
      <c r="M54" s="61">
        <f t="shared" si="3"/>
        <v>642455.9188090245</v>
      </c>
      <c r="N54" s="61">
        <f t="shared" si="3"/>
        <v>3854735.5128541463</v>
      </c>
      <c r="O54" s="134">
        <f>N54/E5/12</f>
        <v>1.3471442436697687</v>
      </c>
      <c r="P54" s="37">
        <f>((O54*1.04)*1.055)*1.045</f>
        <v>1.5446005640414211</v>
      </c>
    </row>
    <row r="55" spans="1:16" s="5" customFormat="1" ht="20.100000000000001" customHeight="1" x14ac:dyDescent="0.25">
      <c r="A55" s="151" t="s">
        <v>56</v>
      </c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3"/>
      <c r="P55" s="37"/>
    </row>
    <row r="56" spans="1:16" s="5" customFormat="1" ht="20.100000000000001" customHeight="1" x14ac:dyDescent="0.25">
      <c r="A56" s="58" t="s">
        <v>57</v>
      </c>
      <c r="B56" s="187" t="s">
        <v>58</v>
      </c>
      <c r="C56" s="188"/>
      <c r="D56" s="59">
        <v>0.72099999999999997</v>
      </c>
      <c r="E56" s="52">
        <f>D56*$E$36*12</f>
        <v>133742.61599999998</v>
      </c>
      <c r="F56" s="52">
        <f>E56*$F$36</f>
        <v>40497.264124799993</v>
      </c>
      <c r="G56" s="52">
        <f>E56*$G$36</f>
        <v>25946.067503999995</v>
      </c>
      <c r="H56" s="52">
        <f>E56*$H$36</f>
        <v>21398.818559999996</v>
      </c>
      <c r="I56" s="52">
        <f>E56*$I$36</f>
        <v>63527.74259999999</v>
      </c>
      <c r="J56" s="52">
        <f>SUM(E56:I56)</f>
        <v>285112.50878879993</v>
      </c>
      <c r="K56" s="52">
        <f>J56*$K$36</f>
        <v>855.33752636639974</v>
      </c>
      <c r="L56" s="52">
        <f>SUM(J56:K56)</f>
        <v>285967.84631516633</v>
      </c>
      <c r="M56" s="52">
        <f>L56*$M$36</f>
        <v>57193.569263033271</v>
      </c>
      <c r="N56" s="52">
        <f>SUM(L56:M56)</f>
        <v>343161.41557819961</v>
      </c>
      <c r="O56" s="62">
        <f>N56/$E$5/12</f>
        <v>0.11992727493343658</v>
      </c>
      <c r="P56" s="52">
        <f>0.11*1.045</f>
        <v>0.11495</v>
      </c>
    </row>
    <row r="57" spans="1:16" s="5" customFormat="1" ht="20.100000000000001" customHeight="1" x14ac:dyDescent="0.25">
      <c r="A57" s="63" t="s">
        <v>59</v>
      </c>
      <c r="B57" s="187" t="s">
        <v>60</v>
      </c>
      <c r="C57" s="188"/>
      <c r="D57" s="59">
        <v>0.06</v>
      </c>
      <c r="E57" s="52">
        <f>D57*$E$36*12</f>
        <v>11129.76</v>
      </c>
      <c r="F57" s="52">
        <f>E57*$F$36</f>
        <v>3370.0913280000004</v>
      </c>
      <c r="G57" s="52">
        <f>E57*$G$36</f>
        <v>2159.17344</v>
      </c>
      <c r="H57" s="52">
        <f>E57*$H$36</f>
        <v>1780.7616</v>
      </c>
      <c r="I57" s="52">
        <f>E57*$I$36</f>
        <v>5286.6359999999995</v>
      </c>
      <c r="J57" s="52">
        <f>SUM(E57:I57)</f>
        <v>23726.422368</v>
      </c>
      <c r="K57" s="52">
        <f>J57*$K$36</f>
        <v>71.179267104000004</v>
      </c>
      <c r="L57" s="52">
        <f>SUM(J57:K57)</f>
        <v>23797.601635103998</v>
      </c>
      <c r="M57" s="52">
        <f>L57*$M$36</f>
        <v>4759.5203270207994</v>
      </c>
      <c r="N57" s="52">
        <f>SUM(L57:M57)</f>
        <v>28557.121962124798</v>
      </c>
      <c r="O57" s="53">
        <f>N57/$E$5/12</f>
        <v>9.9800783578449324E-3</v>
      </c>
      <c r="P57" s="52">
        <f>((O57*1.04)*1.055)*1.045</f>
        <v>1.1442898363067694E-2</v>
      </c>
    </row>
    <row r="58" spans="1:16" s="5" customFormat="1" ht="20.100000000000001" customHeight="1" x14ac:dyDescent="0.25">
      <c r="A58" s="58" t="s">
        <v>61</v>
      </c>
      <c r="B58" s="187" t="s">
        <v>60</v>
      </c>
      <c r="C58" s="188"/>
      <c r="D58" s="59">
        <v>0.315</v>
      </c>
      <c r="E58" s="52">
        <f>D58*$E$36*12</f>
        <v>58431.240000000005</v>
      </c>
      <c r="F58" s="52">
        <f>E58*$F$36</f>
        <v>17692.979472000003</v>
      </c>
      <c r="G58" s="52">
        <f>E58*$G$36</f>
        <v>11335.660560000002</v>
      </c>
      <c r="H58" s="52">
        <f>E58*$H$36</f>
        <v>9348.9984000000004</v>
      </c>
      <c r="I58" s="52">
        <f>E58*$I$36</f>
        <v>27754.839</v>
      </c>
      <c r="J58" s="52">
        <f>SUM(E58:I58)</f>
        <v>124563.717432</v>
      </c>
      <c r="K58" s="52">
        <f>J58*$K$36</f>
        <v>373.69115229600004</v>
      </c>
      <c r="L58" s="52">
        <f>SUM(J58:K58)</f>
        <v>124937.408584296</v>
      </c>
      <c r="M58" s="52">
        <f>L58*$M$36</f>
        <v>24987.481716859202</v>
      </c>
      <c r="N58" s="52">
        <f>SUM(L58:M58)</f>
        <v>149924.89030115522</v>
      </c>
      <c r="O58" s="53">
        <f>N58/$E$5/12</f>
        <v>5.2395411378685898E-2</v>
      </c>
      <c r="P58" s="52">
        <f>0.05*1.045</f>
        <v>5.2249999999999998E-2</v>
      </c>
    </row>
    <row r="59" spans="1:16" s="5" customFormat="1" ht="20.100000000000001" customHeight="1" x14ac:dyDescent="0.25">
      <c r="A59" s="58" t="s">
        <v>62</v>
      </c>
      <c r="B59" s="187" t="s">
        <v>60</v>
      </c>
      <c r="C59" s="188"/>
      <c r="D59" s="59">
        <v>0.50900000000000001</v>
      </c>
      <c r="E59" s="52">
        <f>D59*$E$36*12</f>
        <v>94417.464000000007</v>
      </c>
      <c r="F59" s="52">
        <f>E59*$F$36</f>
        <v>28589.608099200002</v>
      </c>
      <c r="G59" s="52">
        <f>E59*$G$36</f>
        <v>18316.988016000003</v>
      </c>
      <c r="H59" s="52">
        <f>E59*$H$36</f>
        <v>15106.794240000001</v>
      </c>
      <c r="I59" s="52">
        <f>E59*$I$36</f>
        <v>44848.295400000003</v>
      </c>
      <c r="J59" s="52">
        <f>SUM(E59:I59)</f>
        <v>201279.14975519999</v>
      </c>
      <c r="K59" s="52">
        <f>J59*$K$36</f>
        <v>603.83744926559996</v>
      </c>
      <c r="L59" s="52">
        <f>SUM(J59:K59)</f>
        <v>201882.98720446558</v>
      </c>
      <c r="M59" s="52">
        <f>L59*$M$36</f>
        <v>40376.597440893122</v>
      </c>
      <c r="N59" s="52">
        <f>SUM(L59:M59)</f>
        <v>242259.5846453587</v>
      </c>
      <c r="O59" s="53">
        <f>N59/$E$5/12</f>
        <v>8.4664331402384496E-2</v>
      </c>
      <c r="P59" s="52">
        <f>0.13*1.045</f>
        <v>0.13585</v>
      </c>
    </row>
    <row r="60" spans="1:16" s="5" customFormat="1" ht="20.100000000000001" customHeight="1" x14ac:dyDescent="0.25">
      <c r="A60" s="64" t="s">
        <v>63</v>
      </c>
      <c r="B60" s="187" t="s">
        <v>30</v>
      </c>
      <c r="C60" s="188"/>
      <c r="D60" s="194">
        <v>8.0090000000000003</v>
      </c>
      <c r="E60" s="145">
        <f>D60*$E$36*12</f>
        <v>1485637.4640000002</v>
      </c>
      <c r="F60" s="145">
        <f>E60*$F$36</f>
        <v>449851.02409920009</v>
      </c>
      <c r="G60" s="145">
        <f>E60*$G$36</f>
        <v>288213.66801600001</v>
      </c>
      <c r="H60" s="145">
        <f>E60*$H$36</f>
        <v>237701.99424000003</v>
      </c>
      <c r="I60" s="145">
        <f>E60*$I$36</f>
        <v>705677.79540000006</v>
      </c>
      <c r="J60" s="145">
        <f>SUM(E60:I60)</f>
        <v>3167081.9457552005</v>
      </c>
      <c r="K60" s="145">
        <f>J60*$K$36</f>
        <v>9501.2458372656019</v>
      </c>
      <c r="L60" s="145">
        <f>SUM(J60:K60)</f>
        <v>3176583.1915924661</v>
      </c>
      <c r="M60" s="145">
        <f>L60*$M$36</f>
        <v>635316.63831849326</v>
      </c>
      <c r="N60" s="145">
        <f>SUM(L60:M60)</f>
        <v>3811899.8299109591</v>
      </c>
      <c r="O60" s="208">
        <f>N60/$E$5/12</f>
        <v>1.3321741261330011</v>
      </c>
      <c r="P60" s="145">
        <v>1.51</v>
      </c>
    </row>
    <row r="61" spans="1:16" s="5" customFormat="1" ht="20.100000000000001" customHeight="1" x14ac:dyDescent="0.25">
      <c r="A61" s="64" t="s">
        <v>64</v>
      </c>
      <c r="B61" s="187" t="s">
        <v>30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209"/>
      <c r="P61" s="146"/>
    </row>
    <row r="62" spans="1:16" s="5" customFormat="1" ht="20.100000000000001" customHeight="1" x14ac:dyDescent="0.25">
      <c r="A62" s="64" t="s">
        <v>65</v>
      </c>
      <c r="B62" s="187" t="s">
        <v>42</v>
      </c>
      <c r="C62" s="188"/>
      <c r="D62" s="195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209"/>
      <c r="P62" s="146"/>
    </row>
    <row r="63" spans="1:16" s="5" customFormat="1" ht="20.100000000000001" customHeight="1" x14ac:dyDescent="0.25">
      <c r="A63" s="64" t="s">
        <v>66</v>
      </c>
      <c r="B63" s="187" t="s">
        <v>30</v>
      </c>
      <c r="C63" s="188"/>
      <c r="D63" s="196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210"/>
      <c r="P63" s="147"/>
    </row>
    <row r="64" spans="1:16" s="5" customFormat="1" ht="20.100000000000001" customHeight="1" x14ac:dyDescent="0.25">
      <c r="A64" s="58" t="s">
        <v>67</v>
      </c>
      <c r="B64" s="187" t="s">
        <v>42</v>
      </c>
      <c r="C64" s="188"/>
      <c r="D64" s="59">
        <v>2.5999999999999999E-2</v>
      </c>
      <c r="E64" s="52">
        <f>D64*$E$36*12</f>
        <v>4822.8959999999997</v>
      </c>
      <c r="F64" s="52">
        <f>E64*$F$36</f>
        <v>1460.3729088</v>
      </c>
      <c r="G64" s="52">
        <f>E64*$G$36</f>
        <v>935.64182399999993</v>
      </c>
      <c r="H64" s="52">
        <f>E64*$H$36</f>
        <v>771.66336000000001</v>
      </c>
      <c r="I64" s="52">
        <f>E64*$I$36</f>
        <v>2290.8755999999998</v>
      </c>
      <c r="J64" s="52">
        <f>SUM(E64:I64)</f>
        <v>10281.449692799999</v>
      </c>
      <c r="K64" s="52">
        <f>J64*$K$36</f>
        <v>30.844349078399997</v>
      </c>
      <c r="L64" s="52">
        <f>SUM(J64:K64)</f>
        <v>10312.294041878398</v>
      </c>
      <c r="M64" s="52">
        <f>L64*$M$36</f>
        <v>2062.4588083756798</v>
      </c>
      <c r="N64" s="52">
        <f>SUM(L64:M64)</f>
        <v>12374.752850254077</v>
      </c>
      <c r="O64" s="62">
        <f>N64/$E$5/12</f>
        <v>4.3247006217328032E-3</v>
      </c>
      <c r="P64" s="52">
        <f>((O64*1.04)*1.055)*1.045</f>
        <v>4.958589290662666E-3</v>
      </c>
    </row>
    <row r="65" spans="1:16" s="5" customFormat="1" ht="20.100000000000001" customHeight="1" x14ac:dyDescent="0.25">
      <c r="A65" s="58" t="s">
        <v>55</v>
      </c>
      <c r="B65" s="187"/>
      <c r="C65" s="188"/>
      <c r="D65" s="65">
        <f>D64+D60+D59+D58+D57+D56</f>
        <v>9.64</v>
      </c>
      <c r="E65" s="33">
        <f t="shared" ref="E65:N65" si="4">E64+E60+E59+E58+E57+E56</f>
        <v>1788181.44</v>
      </c>
      <c r="F65" s="33">
        <f t="shared" si="4"/>
        <v>541461.34003200009</v>
      </c>
      <c r="G65" s="33">
        <f t="shared" si="4"/>
        <v>346907.19935999997</v>
      </c>
      <c r="H65" s="33">
        <f t="shared" si="4"/>
        <v>286109.03040000005</v>
      </c>
      <c r="I65" s="33">
        <f t="shared" si="4"/>
        <v>849386.18400000012</v>
      </c>
      <c r="J65" s="33">
        <f t="shared" si="4"/>
        <v>3812045.1937920004</v>
      </c>
      <c r="K65" s="33">
        <f t="shared" si="4"/>
        <v>11436.135581376002</v>
      </c>
      <c r="L65" s="33">
        <f t="shared" si="4"/>
        <v>3823481.3293733769</v>
      </c>
      <c r="M65" s="33">
        <f t="shared" si="4"/>
        <v>764696.26587467524</v>
      </c>
      <c r="N65" s="33">
        <f t="shared" si="4"/>
        <v>4588177.595248051</v>
      </c>
      <c r="O65" s="53">
        <f>N65/$E$5/12</f>
        <v>1.6034659228270858</v>
      </c>
      <c r="P65" s="52">
        <f>P64+P60+P59+P58+P57+P56</f>
        <v>1.8294514876537304</v>
      </c>
    </row>
    <row r="66" spans="1:16" s="5" customFormat="1" ht="20.100000000000001" customHeight="1" x14ac:dyDescent="0.2">
      <c r="A66" s="151" t="s">
        <v>68</v>
      </c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3"/>
    </row>
    <row r="67" spans="1:16" s="5" customFormat="1" ht="20.100000000000001" customHeight="1" x14ac:dyDescent="0.25">
      <c r="A67" s="151" t="s">
        <v>69</v>
      </c>
      <c r="B67" s="152"/>
      <c r="C67" s="153"/>
      <c r="D67" s="59">
        <v>0.13500000000000001</v>
      </c>
      <c r="E67" s="52">
        <f>D67*$E$36*12</f>
        <v>25041.96</v>
      </c>
      <c r="F67" s="52">
        <f>E67*$F$36</f>
        <v>7582.7054880000005</v>
      </c>
      <c r="G67" s="52">
        <f>E67*$G$36</f>
        <v>4858.1402399999997</v>
      </c>
      <c r="H67" s="52">
        <f>E67*$H$36</f>
        <v>4006.7136</v>
      </c>
      <c r="I67" s="52">
        <f>E67*$I$36</f>
        <v>11894.930999999999</v>
      </c>
      <c r="J67" s="52">
        <f>SUM(E67:I67)</f>
        <v>53384.450327999999</v>
      </c>
      <c r="K67" s="52">
        <f>J67*$K$36</f>
        <v>160.15335098400001</v>
      </c>
      <c r="L67" s="52">
        <f>SUM(J67:K67)</f>
        <v>53544.603678984</v>
      </c>
      <c r="M67" s="52">
        <f>L67*$M$36</f>
        <v>10708.920735796801</v>
      </c>
      <c r="N67" s="52">
        <f>SUM(L67:M67)</f>
        <v>64253.524414780797</v>
      </c>
      <c r="O67" s="53">
        <f>N67/$E$5/12</f>
        <v>2.2455176305151096E-2</v>
      </c>
      <c r="P67" s="52">
        <f>((O67*1.04)*1.055)*1.045</f>
        <v>2.5746521316902308E-2</v>
      </c>
    </row>
    <row r="68" spans="1:16" s="5" customFormat="1" ht="20.100000000000001" customHeight="1" x14ac:dyDescent="0.25">
      <c r="A68" s="151" t="s">
        <v>70</v>
      </c>
      <c r="B68" s="152"/>
      <c r="C68" s="153"/>
      <c r="D68" s="59">
        <v>0.20699999999999999</v>
      </c>
      <c r="E68" s="52">
        <f>D68*$E$36*12</f>
        <v>38397.671999999999</v>
      </c>
      <c r="F68" s="52">
        <f>E68*$F$36</f>
        <v>11626.8150816</v>
      </c>
      <c r="G68" s="52">
        <f>E68*$G$36</f>
        <v>7449.1483680000001</v>
      </c>
      <c r="H68" s="52">
        <f>E68*$H$36</f>
        <v>6143.62752</v>
      </c>
      <c r="I68" s="52">
        <f>E68*$I$36</f>
        <v>18238.894199999999</v>
      </c>
      <c r="J68" s="52">
        <f>SUM(E68:I68)</f>
        <v>81856.157169600003</v>
      </c>
      <c r="K68" s="52">
        <f>J68*$K$36</f>
        <v>245.5684715088</v>
      </c>
      <c r="L68" s="52">
        <f>SUM(J68:K68)</f>
        <v>82101.725641108802</v>
      </c>
      <c r="M68" s="52">
        <f>L68*$M$36</f>
        <v>16420.345128221761</v>
      </c>
      <c r="N68" s="52">
        <f>SUM(L68:M68)</f>
        <v>98522.070769330559</v>
      </c>
      <c r="O68" s="53">
        <f>N68/$E$5/12</f>
        <v>3.4431270334565015E-2</v>
      </c>
      <c r="P68" s="52">
        <f>((O68*1.04)*1.055)*1.045</f>
        <v>3.9477999352583545E-2</v>
      </c>
    </row>
    <row r="69" spans="1:16" s="5" customFormat="1" ht="20.100000000000001" customHeight="1" x14ac:dyDescent="0.25">
      <c r="A69" s="151" t="s">
        <v>55</v>
      </c>
      <c r="B69" s="152"/>
      <c r="C69" s="153"/>
      <c r="D69" s="65">
        <f>D68+D67</f>
        <v>0.34199999999999997</v>
      </c>
      <c r="E69" s="33">
        <f t="shared" ref="E69:O69" si="5">E68+E67</f>
        <v>63439.631999999998</v>
      </c>
      <c r="F69" s="33">
        <f t="shared" si="5"/>
        <v>19209.520569600001</v>
      </c>
      <c r="G69" s="33">
        <f t="shared" si="5"/>
        <v>12307.288607999999</v>
      </c>
      <c r="H69" s="33">
        <f t="shared" si="5"/>
        <v>10150.341120000001</v>
      </c>
      <c r="I69" s="33">
        <f t="shared" si="5"/>
        <v>30133.825199999999</v>
      </c>
      <c r="J69" s="33">
        <f t="shared" si="5"/>
        <v>135240.60749759999</v>
      </c>
      <c r="K69" s="33">
        <f t="shared" si="5"/>
        <v>405.72182249280002</v>
      </c>
      <c r="L69" s="33">
        <f t="shared" si="5"/>
        <v>135646.3293200928</v>
      </c>
      <c r="M69" s="33">
        <f t="shared" si="5"/>
        <v>27129.265864018562</v>
      </c>
      <c r="N69" s="33">
        <f t="shared" si="5"/>
        <v>162775.59518411136</v>
      </c>
      <c r="O69" s="134">
        <f t="shared" si="5"/>
        <v>5.6886446639716107E-2</v>
      </c>
      <c r="P69" s="52">
        <f>((O69*1.04)*1.055)*1.045</f>
        <v>6.522452066948585E-2</v>
      </c>
    </row>
    <row r="70" spans="1:16" ht="20.100000000000001" customHeight="1" x14ac:dyDescent="0.25">
      <c r="A70" s="179" t="s">
        <v>71</v>
      </c>
      <c r="B70" s="180"/>
      <c r="C70" s="181"/>
      <c r="D70" s="33"/>
      <c r="E70" s="33"/>
      <c r="F70" s="33"/>
      <c r="G70" s="33"/>
      <c r="H70" s="33"/>
      <c r="I70" s="33"/>
      <c r="J70" s="55">
        <f>E5*0.375*12</f>
        <v>1073029.7250000001</v>
      </c>
      <c r="K70" s="55">
        <f>J70*0.03%</f>
        <v>321.90891749999997</v>
      </c>
      <c r="L70" s="55">
        <f>J70+K70</f>
        <v>1073351.6339175</v>
      </c>
      <c r="M70" s="55">
        <f>L70*20%</f>
        <v>214670.32678350003</v>
      </c>
      <c r="N70" s="55">
        <f>SUM(L70:M70)</f>
        <v>1288021.9607009999</v>
      </c>
      <c r="O70" s="32">
        <f>N70/E5/12</f>
        <v>0.45013499999999995</v>
      </c>
      <c r="P70" s="31">
        <f>((O70*1.04)*1.05)*1.045</f>
        <v>0.51366705389999989</v>
      </c>
    </row>
    <row r="71" spans="1:16" ht="20.100000000000001" customHeight="1" x14ac:dyDescent="0.25">
      <c r="A71" s="203"/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34"/>
    </row>
    <row r="72" spans="1:16" ht="20.100000000000001" customHeight="1" x14ac:dyDescent="0.25">
      <c r="A72" s="179" t="s">
        <v>72</v>
      </c>
      <c r="B72" s="180"/>
      <c r="C72" s="181"/>
      <c r="D72" s="33"/>
      <c r="E72" s="33"/>
      <c r="F72" s="33"/>
      <c r="G72" s="33"/>
      <c r="H72" s="33"/>
      <c r="I72" s="33"/>
      <c r="J72" s="55">
        <f>1.49*E5*12</f>
        <v>4263504.7740000002</v>
      </c>
      <c r="K72" s="55">
        <f>J72*0.03%</f>
        <v>1279.0514321999999</v>
      </c>
      <c r="L72" s="55">
        <f>SUM(J72:K72)</f>
        <v>4264783.8254322</v>
      </c>
      <c r="M72" s="55">
        <f>L72*20%</f>
        <v>852956.76508644002</v>
      </c>
      <c r="N72" s="55">
        <f>SUM(L72:M72)</f>
        <v>5117740.5905186404</v>
      </c>
      <c r="O72" s="32">
        <f>N72/E5/12</f>
        <v>1.7885363999999999</v>
      </c>
      <c r="P72" s="31">
        <f>((1.84*1.055)*1.045)</f>
        <v>2.0285539999999997</v>
      </c>
    </row>
    <row r="73" spans="1:16" ht="20.100000000000001" customHeight="1" x14ac:dyDescent="0.25">
      <c r="A73" s="203"/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34"/>
    </row>
    <row r="74" spans="1:16" ht="20.100000000000001" customHeight="1" x14ac:dyDescent="0.2">
      <c r="A74" s="148" t="s">
        <v>73</v>
      </c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50"/>
    </row>
    <row r="75" spans="1:16" ht="20.100000000000001" customHeight="1" x14ac:dyDescent="0.25">
      <c r="A75" s="205" t="s">
        <v>74</v>
      </c>
      <c r="B75" s="206"/>
      <c r="C75" s="207"/>
      <c r="D75" s="66"/>
      <c r="E75" s="66"/>
      <c r="F75" s="66"/>
      <c r="G75" s="66"/>
      <c r="H75" s="66"/>
      <c r="I75" s="66"/>
      <c r="J75" s="66"/>
      <c r="K75" s="66"/>
      <c r="L75" s="66">
        <f>2.19*E5*12</f>
        <v>6266493.5940000005</v>
      </c>
      <c r="M75" s="66">
        <f>L75*20%</f>
        <v>1253298.7188000001</v>
      </c>
      <c r="N75" s="66">
        <f>SUM(L75:M75)</f>
        <v>7519792.3128000004</v>
      </c>
      <c r="O75" s="31">
        <f>N75/E5/12</f>
        <v>2.6279999999999997</v>
      </c>
      <c r="P75" s="31">
        <f>((O75*1.04)*1.055)*1.045</f>
        <v>3.0131964719999993</v>
      </c>
    </row>
    <row r="76" spans="1:16" ht="20.100000000000001" customHeight="1" x14ac:dyDescent="0.25">
      <c r="A76" s="205" t="s">
        <v>75</v>
      </c>
      <c r="B76" s="206"/>
      <c r="C76" s="207"/>
      <c r="D76" s="66"/>
      <c r="E76" s="66"/>
      <c r="F76" s="66"/>
      <c r="G76" s="66"/>
      <c r="H76" s="66"/>
      <c r="I76" s="66"/>
      <c r="J76" s="66"/>
      <c r="K76" s="66"/>
      <c r="L76" s="66">
        <f>E5*0.275*12</f>
        <v>786888.46500000008</v>
      </c>
      <c r="M76" s="66">
        <f>L76*0.2</f>
        <v>157377.69300000003</v>
      </c>
      <c r="N76" s="66">
        <f>SUM(L76:M76)</f>
        <v>944266.15800000005</v>
      </c>
      <c r="O76" s="31">
        <f>N76/E5/12</f>
        <v>0.33</v>
      </c>
      <c r="P76" s="31">
        <v>0.71</v>
      </c>
    </row>
    <row r="77" spans="1:16" ht="20.100000000000001" customHeight="1" x14ac:dyDescent="0.25">
      <c r="A77" s="198" t="s">
        <v>76</v>
      </c>
      <c r="B77" s="199"/>
      <c r="C77" s="200"/>
      <c r="D77" s="133"/>
      <c r="E77" s="133"/>
      <c r="F77" s="133"/>
      <c r="G77" s="133"/>
      <c r="H77" s="133"/>
      <c r="I77" s="133"/>
      <c r="J77" s="133"/>
      <c r="K77" s="133"/>
      <c r="L77" s="133">
        <f>110*2561</f>
        <v>281710</v>
      </c>
      <c r="M77" s="133">
        <f>L77*20%</f>
        <v>56342</v>
      </c>
      <c r="N77" s="133">
        <f>SUM(L77:M77)</f>
        <v>338052</v>
      </c>
      <c r="O77" s="31">
        <f>N77/E5</f>
        <v>1.4176997752788254</v>
      </c>
      <c r="P77" s="31">
        <f>((O77*1.04)*1.055)*1.045</f>
        <v>1.6254977021405437</v>
      </c>
    </row>
    <row r="78" spans="1:16" ht="20.100000000000001" customHeight="1" x14ac:dyDescent="0.25">
      <c r="A78" s="198" t="s">
        <v>77</v>
      </c>
      <c r="B78" s="199"/>
      <c r="C78" s="200"/>
      <c r="D78" s="133"/>
      <c r="E78" s="133"/>
      <c r="F78" s="133"/>
      <c r="G78" s="133"/>
      <c r="H78" s="133"/>
      <c r="I78" s="133"/>
      <c r="J78" s="133"/>
      <c r="K78" s="133"/>
      <c r="L78" s="133">
        <f>8000*5</f>
        <v>40000</v>
      </c>
      <c r="M78" s="133">
        <f>L78*20%</f>
        <v>8000</v>
      </c>
      <c r="N78" s="133">
        <f>SUM(L78:M78)</f>
        <v>48000</v>
      </c>
      <c r="O78" s="31">
        <f>N78/E5/12</f>
        <v>1.6774931374804177E-2</v>
      </c>
      <c r="P78" s="31">
        <f>((O78*1.04)*1.55)*1.045</f>
        <v>2.825804289811263E-2</v>
      </c>
    </row>
    <row r="79" spans="1:16" ht="20.100000000000001" customHeight="1" x14ac:dyDescent="0.25">
      <c r="A79" s="201" t="s">
        <v>22</v>
      </c>
      <c r="B79" s="201"/>
      <c r="C79" s="201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32">
        <f>SUM(O75:O78)</f>
        <v>4.3924747066536289</v>
      </c>
      <c r="P79" s="31">
        <v>5.22</v>
      </c>
    </row>
    <row r="80" spans="1:16" ht="20.100000000000001" customHeight="1" x14ac:dyDescent="0.2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0"/>
      <c r="P80" s="67"/>
    </row>
    <row r="81" spans="1:16" s="5" customFormat="1" ht="26.25" customHeight="1" x14ac:dyDescent="0.2">
      <c r="A81" s="201" t="s">
        <v>123</v>
      </c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32">
        <f>O79+O72+O70+O65+O54+O38+O32+O22+O69+O24+O23</f>
        <v>22.477893821606497</v>
      </c>
      <c r="P81" s="32">
        <v>25.94</v>
      </c>
    </row>
    <row r="82" spans="1:16" ht="15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spans="1:16" ht="15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spans="1:16" ht="15" x14ac:dyDescent="0.25">
      <c r="A84" s="14" t="s">
        <v>93</v>
      </c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</row>
    <row r="85" spans="1:16" ht="14.25" x14ac:dyDescent="0.2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</row>
    <row r="86" spans="1:16" x14ac:dyDescent="0.2">
      <c r="A86" s="202"/>
      <c r="B86" s="202"/>
      <c r="C86" s="202"/>
      <c r="D86" s="7"/>
      <c r="E86" s="7"/>
      <c r="F86" s="7"/>
      <c r="G86" s="7"/>
      <c r="H86" s="7"/>
      <c r="I86" s="7"/>
      <c r="J86" s="7"/>
      <c r="K86" s="7"/>
      <c r="L86" s="7"/>
      <c r="M86" s="202"/>
      <c r="N86" s="202"/>
      <c r="O86" s="202"/>
      <c r="P86" s="1"/>
    </row>
  </sheetData>
  <mergeCells count="114">
    <mergeCell ref="A3:P3"/>
    <mergeCell ref="A78:C78"/>
    <mergeCell ref="A79:N79"/>
    <mergeCell ref="A81:N81"/>
    <mergeCell ref="A86:C86"/>
    <mergeCell ref="M86:O86"/>
    <mergeCell ref="A72:C72"/>
    <mergeCell ref="A73:O73"/>
    <mergeCell ref="A75:C75"/>
    <mergeCell ref="A76:C76"/>
    <mergeCell ref="A77:C77"/>
    <mergeCell ref="A67:C67"/>
    <mergeCell ref="A68:C68"/>
    <mergeCell ref="A69:C69"/>
    <mergeCell ref="A70:C70"/>
    <mergeCell ref="A71:O71"/>
    <mergeCell ref="O60:O63"/>
    <mergeCell ref="B61:C61"/>
    <mergeCell ref="B62:C62"/>
    <mergeCell ref="B63:C63"/>
    <mergeCell ref="B64:C64"/>
    <mergeCell ref="B65:C65"/>
    <mergeCell ref="I60:I63"/>
    <mergeCell ref="J60:J63"/>
    <mergeCell ref="K60:K63"/>
    <mergeCell ref="L60:L63"/>
    <mergeCell ref="M60:M63"/>
    <mergeCell ref="N60:N63"/>
    <mergeCell ref="B60:C60"/>
    <mergeCell ref="D60:D63"/>
    <mergeCell ref="E60:E63"/>
    <mergeCell ref="F60:F63"/>
    <mergeCell ref="G60:G63"/>
    <mergeCell ref="H60:H63"/>
    <mergeCell ref="B54:C54"/>
    <mergeCell ref="A55:O55"/>
    <mergeCell ref="B56:C56"/>
    <mergeCell ref="B57:C57"/>
    <mergeCell ref="B58:C58"/>
    <mergeCell ref="B59:C59"/>
    <mergeCell ref="B48:C48"/>
    <mergeCell ref="B49:C49"/>
    <mergeCell ref="A50:O50"/>
    <mergeCell ref="B51:C51"/>
    <mergeCell ref="B52:C52"/>
    <mergeCell ref="B53:C53"/>
    <mergeCell ref="E26:E27"/>
    <mergeCell ref="F26:F27"/>
    <mergeCell ref="B42:C42"/>
    <mergeCell ref="B43:C43"/>
    <mergeCell ref="A44:O44"/>
    <mergeCell ref="B45:C45"/>
    <mergeCell ref="B46:C46"/>
    <mergeCell ref="B47:C47"/>
    <mergeCell ref="M34:M35"/>
    <mergeCell ref="N34:N36"/>
    <mergeCell ref="O34:O36"/>
    <mergeCell ref="A39:O39"/>
    <mergeCell ref="A40:O40"/>
    <mergeCell ref="B41:C41"/>
    <mergeCell ref="G34:G35"/>
    <mergeCell ref="H34:H35"/>
    <mergeCell ref="I34:I35"/>
    <mergeCell ref="J34:J36"/>
    <mergeCell ref="K34:K35"/>
    <mergeCell ref="L34:L36"/>
    <mergeCell ref="J7:J9"/>
    <mergeCell ref="K7:K8"/>
    <mergeCell ref="L7:L9"/>
    <mergeCell ref="M7:M8"/>
    <mergeCell ref="M26:M27"/>
    <mergeCell ref="N26:N28"/>
    <mergeCell ref="O26:O28"/>
    <mergeCell ref="A33:O33"/>
    <mergeCell ref="A34:A37"/>
    <mergeCell ref="B34:B36"/>
    <mergeCell ref="C34:C36"/>
    <mergeCell ref="D34:D36"/>
    <mergeCell ref="E34:E35"/>
    <mergeCell ref="F34:F35"/>
    <mergeCell ref="G26:G27"/>
    <mergeCell ref="H26:H27"/>
    <mergeCell ref="I26:I27"/>
    <mergeCell ref="J26:J28"/>
    <mergeCell ref="K26:K27"/>
    <mergeCell ref="L26:L28"/>
    <mergeCell ref="A26:A29"/>
    <mergeCell ref="B26:B28"/>
    <mergeCell ref="C26:C28"/>
    <mergeCell ref="D26:D28"/>
    <mergeCell ref="P7:P9"/>
    <mergeCell ref="P26:P28"/>
    <mergeCell ref="P34:P36"/>
    <mergeCell ref="P60:P63"/>
    <mergeCell ref="A74:P74"/>
    <mergeCell ref="A66:P66"/>
    <mergeCell ref="A4:P4"/>
    <mergeCell ref="A2:P2"/>
    <mergeCell ref="A5:D5"/>
    <mergeCell ref="A7:A10"/>
    <mergeCell ref="B7:B9"/>
    <mergeCell ref="C7:C9"/>
    <mergeCell ref="D7:D9"/>
    <mergeCell ref="E7:E8"/>
    <mergeCell ref="F7:F8"/>
    <mergeCell ref="G7:G8"/>
    <mergeCell ref="N7:N9"/>
    <mergeCell ref="O7:O9"/>
    <mergeCell ref="A11:O11"/>
    <mergeCell ref="A19:O19"/>
    <mergeCell ref="D23:K23"/>
    <mergeCell ref="D24:K24"/>
    <mergeCell ref="H7:H8"/>
    <mergeCell ref="I7:I8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0"/>
  <sheetViews>
    <sheetView zoomScale="180" zoomScaleNormal="180" workbookViewId="0">
      <selection activeCell="Q15" sqref="Q15"/>
    </sheetView>
  </sheetViews>
  <sheetFormatPr defaultColWidth="9.140625" defaultRowHeight="12.75" x14ac:dyDescent="0.2"/>
  <cols>
    <col min="1" max="1" width="65.7109375" style="2" customWidth="1"/>
    <col min="2" max="3" width="6.7109375" style="2" hidden="1" customWidth="1"/>
    <col min="4" max="4" width="6.85546875" style="2" hidden="1" customWidth="1"/>
    <col min="5" max="5" width="9" style="2" hidden="1" customWidth="1"/>
    <col min="6" max="9" width="0" style="2" hidden="1" customWidth="1"/>
    <col min="10" max="10" width="11" style="2" hidden="1" customWidth="1"/>
    <col min="11" max="14" width="0" style="2" hidden="1" customWidth="1"/>
    <col min="15" max="15" width="15.5703125" style="2" hidden="1" customWidth="1"/>
    <col min="16" max="16" width="15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5.75" hidden="1" customHeight="1" x14ac:dyDescent="0.2">
      <c r="A4" s="69" t="s">
        <v>0</v>
      </c>
      <c r="B4" s="15"/>
      <c r="C4" s="15"/>
      <c r="D4" s="15"/>
      <c r="E4" s="82">
        <v>1352.58</v>
      </c>
      <c r="F4" s="15" t="s">
        <v>1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4.25" x14ac:dyDescent="0.2">
      <c r="A5" s="155" t="s">
        <v>101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78.75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161" t="s">
        <v>92</v>
      </c>
      <c r="F6" s="163" t="s">
        <v>7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87</v>
      </c>
      <c r="M6" s="158" t="s">
        <v>14</v>
      </c>
      <c r="N6" s="167" t="s">
        <v>15</v>
      </c>
      <c r="O6" s="141" t="s">
        <v>16</v>
      </c>
      <c r="P6" s="141" t="s">
        <v>136</v>
      </c>
    </row>
    <row r="7" spans="1:16" ht="17.25" hidden="1" customHeight="1" x14ac:dyDescent="0.2">
      <c r="A7" s="157"/>
      <c r="B7" s="159"/>
      <c r="C7" s="159"/>
      <c r="D7" s="159"/>
      <c r="E7" s="162"/>
      <c r="F7" s="164"/>
      <c r="G7" s="166"/>
      <c r="H7" s="177"/>
      <c r="I7" s="177"/>
      <c r="J7" s="159"/>
      <c r="K7" s="159"/>
      <c r="L7" s="168"/>
      <c r="M7" s="159"/>
      <c r="N7" s="168"/>
      <c r="O7" s="142"/>
      <c r="P7" s="142"/>
    </row>
    <row r="8" spans="1:16" ht="15" hidden="1" x14ac:dyDescent="0.2">
      <c r="A8" s="157"/>
      <c r="B8" s="160"/>
      <c r="C8" s="160"/>
      <c r="D8" s="160"/>
      <c r="E8" s="18">
        <v>12792</v>
      </c>
      <c r="F8" s="19">
        <v>0.30280000000000001</v>
      </c>
      <c r="G8" s="5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23">
        <v>0.2</v>
      </c>
      <c r="N8" s="169"/>
      <c r="O8" s="143"/>
      <c r="P8" s="143"/>
    </row>
    <row r="9" spans="1:16" ht="14.25" hidden="1" x14ac:dyDescent="0.2">
      <c r="A9" s="157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24">
        <v>12</v>
      </c>
      <c r="N9" s="24">
        <v>13</v>
      </c>
      <c r="O9" s="24">
        <v>14</v>
      </c>
      <c r="P9" s="24">
        <v>14</v>
      </c>
    </row>
    <row r="10" spans="1:16" ht="15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71"/>
    </row>
    <row r="11" spans="1:16" ht="45.75" customHeight="1" x14ac:dyDescent="0.2">
      <c r="A11" s="26" t="s">
        <v>106</v>
      </c>
      <c r="B11" s="27" t="s">
        <v>18</v>
      </c>
      <c r="C11" s="27" t="s">
        <v>18</v>
      </c>
      <c r="D11" s="27">
        <f>SUM(D12:D14)</f>
        <v>1.8732782369146005E-2</v>
      </c>
      <c r="E11" s="27">
        <f t="shared" ref="E11:O11" si="0">SUM(E12:E14)</f>
        <v>2875.5570247933883</v>
      </c>
      <c r="F11" s="27">
        <f t="shared" si="0"/>
        <v>870.71866710743802</v>
      </c>
      <c r="G11" s="27">
        <f t="shared" si="0"/>
        <v>64.987588760330567</v>
      </c>
      <c r="H11" s="27">
        <f t="shared" si="0"/>
        <v>77.640039669421483</v>
      </c>
      <c r="I11" s="27">
        <f t="shared" si="0"/>
        <v>1365.8895867768595</v>
      </c>
      <c r="J11" s="27">
        <f t="shared" si="0"/>
        <v>5254.7929071074377</v>
      </c>
      <c r="K11" s="27">
        <f t="shared" si="0"/>
        <v>15.764378721322313</v>
      </c>
      <c r="L11" s="27">
        <f t="shared" si="0"/>
        <v>5270.5572858287596</v>
      </c>
      <c r="M11" s="27">
        <f t="shared" si="0"/>
        <v>1054.111457165752</v>
      </c>
      <c r="N11" s="27">
        <f t="shared" si="0"/>
        <v>6324.6687429945114</v>
      </c>
      <c r="O11" s="27">
        <f t="shared" si="0"/>
        <v>0.38966695395679074</v>
      </c>
      <c r="P11" s="27">
        <f>((O11*1.04)*1.055)*1.045</f>
        <v>0.44678199806605334</v>
      </c>
    </row>
    <row r="12" spans="1:16" ht="15" x14ac:dyDescent="0.25">
      <c r="A12" s="28" t="s">
        <v>19</v>
      </c>
      <c r="B12" s="29">
        <f>'[5]5 категоря'!U15</f>
        <v>68</v>
      </c>
      <c r="C12" s="29">
        <v>3630</v>
      </c>
      <c r="D12" s="30">
        <f>B12/C12</f>
        <v>1.8732782369146005E-2</v>
      </c>
      <c r="E12" s="30">
        <f>D12*$E$8*12</f>
        <v>2875.5570247933883</v>
      </c>
      <c r="F12" s="31">
        <f>E12*$F$8</f>
        <v>870.71866710743802</v>
      </c>
      <c r="G12" s="31">
        <f>E12*$G$8</f>
        <v>64.987588760330567</v>
      </c>
      <c r="H12" s="31">
        <f>E12*$H$8</f>
        <v>77.640039669421483</v>
      </c>
      <c r="I12" s="31">
        <f>E12*$I$8</f>
        <v>1365.8895867768595</v>
      </c>
      <c r="J12" s="31">
        <f>SUM(E12:I12)</f>
        <v>5254.7929071074377</v>
      </c>
      <c r="K12" s="31">
        <f>J12*$K$8</f>
        <v>15.764378721322313</v>
      </c>
      <c r="L12" s="32">
        <f>SUM(J12:K12)</f>
        <v>5270.5572858287596</v>
      </c>
      <c r="M12" s="31">
        <f>L12*$M$8</f>
        <v>1054.111457165752</v>
      </c>
      <c r="N12" s="32">
        <f>SUM(L12:M12)</f>
        <v>6324.6687429945114</v>
      </c>
      <c r="O12" s="31">
        <f>N12/$E$4/12</f>
        <v>0.38966695395679074</v>
      </c>
      <c r="P12" s="27">
        <f>((O12*1.04)*1.055)*1.045</f>
        <v>0.44678199806605334</v>
      </c>
    </row>
    <row r="13" spans="1:16" ht="15" x14ac:dyDescent="0.25">
      <c r="A13" s="28" t="s">
        <v>20</v>
      </c>
      <c r="B13" s="29">
        <f>'[5]5 категоря'!V15</f>
        <v>0</v>
      </c>
      <c r="C13" s="29">
        <v>3080</v>
      </c>
      <c r="D13" s="30">
        <f t="shared" ref="D13:D14" si="1">B13/C13</f>
        <v>0</v>
      </c>
      <c r="E13" s="30">
        <f>D13*$E$8*12</f>
        <v>0</v>
      </c>
      <c r="F13" s="31">
        <f t="shared" ref="F13:F14" si="2">E13*$F$8</f>
        <v>0</v>
      </c>
      <c r="G13" s="31">
        <f t="shared" ref="G13:G14" si="3">E13*$G$8</f>
        <v>0</v>
      </c>
      <c r="H13" s="31">
        <f t="shared" ref="H13:H14" si="4">E13*$H$8</f>
        <v>0</v>
      </c>
      <c r="I13" s="31">
        <f t="shared" ref="I13:I14" si="5">E13*$I$8</f>
        <v>0</v>
      </c>
      <c r="J13" s="31">
        <f t="shared" ref="J13:J14" si="6">SUM(E13:I13)</f>
        <v>0</v>
      </c>
      <c r="K13" s="31">
        <f t="shared" ref="K13:K14" si="7">J13*$K$8</f>
        <v>0</v>
      </c>
      <c r="L13" s="32">
        <f t="shared" ref="L13:L14" si="8">SUM(J13:K13)</f>
        <v>0</v>
      </c>
      <c r="M13" s="31">
        <f t="shared" ref="M13:M14" si="9">L13*$M$8</f>
        <v>0</v>
      </c>
      <c r="N13" s="32">
        <f t="shared" ref="N13:N14" si="10">SUM(L13:M13)</f>
        <v>0</v>
      </c>
      <c r="O13" s="31">
        <f>N13/$E$4/12</f>
        <v>0</v>
      </c>
      <c r="P13" s="27">
        <f t="shared" ref="P13:P14" si="11">(O13*1.04)*1.055</f>
        <v>0</v>
      </c>
    </row>
    <row r="14" spans="1:16" ht="15" x14ac:dyDescent="0.25">
      <c r="A14" s="28" t="s">
        <v>21</v>
      </c>
      <c r="B14" s="29">
        <f>'[5]5 категоря'!W15</f>
        <v>0</v>
      </c>
      <c r="C14" s="29">
        <v>2500</v>
      </c>
      <c r="D14" s="30">
        <f t="shared" si="1"/>
        <v>0</v>
      </c>
      <c r="E14" s="30">
        <f>D14*$E$8*12</f>
        <v>0</v>
      </c>
      <c r="F14" s="31">
        <f t="shared" si="2"/>
        <v>0</v>
      </c>
      <c r="G14" s="31">
        <f t="shared" si="3"/>
        <v>0</v>
      </c>
      <c r="H14" s="31">
        <f t="shared" si="4"/>
        <v>0</v>
      </c>
      <c r="I14" s="31">
        <f t="shared" si="5"/>
        <v>0</v>
      </c>
      <c r="J14" s="31">
        <f t="shared" si="6"/>
        <v>0</v>
      </c>
      <c r="K14" s="31">
        <f t="shared" si="7"/>
        <v>0</v>
      </c>
      <c r="L14" s="32">
        <f t="shared" si="8"/>
        <v>0</v>
      </c>
      <c r="M14" s="31">
        <f t="shared" si="9"/>
        <v>0</v>
      </c>
      <c r="N14" s="32">
        <f t="shared" si="10"/>
        <v>0</v>
      </c>
      <c r="O14" s="31">
        <f>N14/$E$4/12</f>
        <v>0</v>
      </c>
      <c r="P14" s="27">
        <f t="shared" si="11"/>
        <v>0</v>
      </c>
    </row>
    <row r="15" spans="1:16" ht="15" x14ac:dyDescent="0.25">
      <c r="A15" s="26" t="s">
        <v>98</v>
      </c>
      <c r="B15" s="29">
        <f>'[5]5 категоря'!S15*23%</f>
        <v>171.12</v>
      </c>
      <c r="C15" s="29">
        <v>30000</v>
      </c>
      <c r="D15" s="31">
        <f>B15/C15</f>
        <v>5.7039999999999999E-3</v>
      </c>
      <c r="E15" s="30">
        <f>$E$8*D15*12</f>
        <v>875.586816</v>
      </c>
      <c r="F15" s="31">
        <f>E15*$F$8</f>
        <v>265.12768788480003</v>
      </c>
      <c r="G15" s="31">
        <f>E15*$G$8</f>
        <v>19.788262041599999</v>
      </c>
      <c r="H15" s="31">
        <f>E15*$H$8</f>
        <v>23.640844032</v>
      </c>
      <c r="I15" s="31">
        <f>E15*$I$8</f>
        <v>415.9037376</v>
      </c>
      <c r="J15" s="31">
        <f>E15+F15+G15+H15+I15</f>
        <v>1600.0473475583999</v>
      </c>
      <c r="K15" s="31">
        <f>J15*$K$8</f>
        <v>4.8001420426751995</v>
      </c>
      <c r="L15" s="32">
        <f>J15+K15</f>
        <v>1604.847489601075</v>
      </c>
      <c r="M15" s="31">
        <f>L15*$M$8</f>
        <v>320.96949792021502</v>
      </c>
      <c r="N15" s="32">
        <f>L15+M15</f>
        <v>1925.81698752129</v>
      </c>
      <c r="O15" s="31">
        <f>N15/$E$4/12</f>
        <v>0.11865083688957956</v>
      </c>
      <c r="P15" s="27">
        <f>((O15*1.04)*1.055)*1.045</f>
        <v>0.13604196465583276</v>
      </c>
    </row>
    <row r="16" spans="1:16" ht="45" x14ac:dyDescent="0.25">
      <c r="A16" s="28" t="s">
        <v>107</v>
      </c>
      <c r="B16" s="29">
        <f>'[5]5 категоря'!T15*35%</f>
        <v>67.199999999999989</v>
      </c>
      <c r="C16" s="29">
        <v>2340</v>
      </c>
      <c r="D16" s="31">
        <f>B16/C16</f>
        <v>2.8717948717948714E-2</v>
      </c>
      <c r="E16" s="30">
        <f>$E$8*D16*12</f>
        <v>4408.32</v>
      </c>
      <c r="F16" s="31">
        <f>E16*$F$8</f>
        <v>1334.8392959999999</v>
      </c>
      <c r="G16" s="31">
        <f>E16*$G$8</f>
        <v>99.62803199999999</v>
      </c>
      <c r="H16" s="31">
        <f>E16*$H$8</f>
        <v>119.02463999999999</v>
      </c>
      <c r="I16" s="31">
        <f>E16*$I$8</f>
        <v>2093.9519999999998</v>
      </c>
      <c r="J16" s="31">
        <f>E16+F16+G16+H16+I16</f>
        <v>8055.7639679999993</v>
      </c>
      <c r="K16" s="31">
        <f>J16*$K$8</f>
        <v>24.167291903999999</v>
      </c>
      <c r="L16" s="32">
        <f>J16+K16</f>
        <v>8079.9312599039995</v>
      </c>
      <c r="M16" s="31">
        <f>L16*$M$8</f>
        <v>1615.9862519808</v>
      </c>
      <c r="N16" s="32">
        <f>L16+M16</f>
        <v>9695.9175118847998</v>
      </c>
      <c r="O16" s="31">
        <f>N16/$E$4/12</f>
        <v>0.59737178280796699</v>
      </c>
      <c r="P16" s="27">
        <f>((O16*1.04)*1.055)*1.045</f>
        <v>0.68493095450126185</v>
      </c>
    </row>
    <row r="17" spans="1:16" ht="15" x14ac:dyDescent="0.2">
      <c r="A17" s="33" t="s">
        <v>22</v>
      </c>
      <c r="B17" s="32"/>
      <c r="C17" s="32"/>
      <c r="D17" s="32">
        <f>SUM(D12:D16)</f>
        <v>5.3154731087094717E-2</v>
      </c>
      <c r="E17" s="35">
        <f>SUM(E12:E16)</f>
        <v>8159.463840793388</v>
      </c>
      <c r="F17" s="35">
        <f t="shared" ref="F17:O17" si="12">SUM(F12:F16)</f>
        <v>2470.6856509922382</v>
      </c>
      <c r="G17" s="35">
        <f t="shared" si="12"/>
        <v>184.40388280193056</v>
      </c>
      <c r="H17" s="35">
        <f t="shared" si="12"/>
        <v>220.30552370142146</v>
      </c>
      <c r="I17" s="35">
        <f t="shared" si="12"/>
        <v>3875.7453243768591</v>
      </c>
      <c r="J17" s="35">
        <f t="shared" si="12"/>
        <v>14910.604222665837</v>
      </c>
      <c r="K17" s="35">
        <f t="shared" si="12"/>
        <v>44.731812667997517</v>
      </c>
      <c r="L17" s="35">
        <f t="shared" si="12"/>
        <v>14955.336035333834</v>
      </c>
      <c r="M17" s="35">
        <f t="shared" si="12"/>
        <v>2991.067207066767</v>
      </c>
      <c r="N17" s="35">
        <f t="shared" si="12"/>
        <v>17946.4032424006</v>
      </c>
      <c r="O17" s="35">
        <f t="shared" si="12"/>
        <v>1.1056895736543373</v>
      </c>
      <c r="P17" s="27">
        <f>(1.12*1.055)*1.045</f>
        <v>1.234772</v>
      </c>
    </row>
    <row r="18" spans="1:16" ht="15" x14ac:dyDescent="0.2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27"/>
    </row>
    <row r="19" spans="1:16" ht="45" x14ac:dyDescent="0.25">
      <c r="A19" s="28" t="s">
        <v>24</v>
      </c>
      <c r="B19" s="29">
        <f>'[5]5 категоря'!Y15</f>
        <v>200.7</v>
      </c>
      <c r="C19" s="29">
        <f>'[5]5 категоря'!Z53</f>
        <v>1066</v>
      </c>
      <c r="D19" s="32">
        <f>B19/C19</f>
        <v>0.18827392120075045</v>
      </c>
      <c r="E19" s="30">
        <f>E8*D19*12</f>
        <v>28900.799999999996</v>
      </c>
      <c r="F19" s="31">
        <f>E19*F8</f>
        <v>8751.1622399999997</v>
      </c>
      <c r="G19" s="31">
        <f>E19*G8</f>
        <v>653.15807999999981</v>
      </c>
      <c r="H19" s="31">
        <f>E19*H8</f>
        <v>780.32159999999988</v>
      </c>
      <c r="I19" s="31">
        <f>E19*I8</f>
        <v>13727.879999999997</v>
      </c>
      <c r="J19" s="31">
        <f>E19+F19+G19+H19+I19</f>
        <v>52813.321919999995</v>
      </c>
      <c r="K19" s="31">
        <f>J19*K8</f>
        <v>158.43996575999998</v>
      </c>
      <c r="L19" s="31">
        <f>J19+K19</f>
        <v>52971.761885759995</v>
      </c>
      <c r="M19" s="31">
        <f>L19*M8</f>
        <v>10594.352377151999</v>
      </c>
      <c r="N19" s="32">
        <f>L19+M19</f>
        <v>63566.114262911993</v>
      </c>
      <c r="O19" s="31">
        <f>N19/$E$4/12</f>
        <v>3.9163496344585904</v>
      </c>
      <c r="P19" s="27">
        <f>(3.97*1.055)*1.045</f>
        <v>4.3768257499999992</v>
      </c>
    </row>
    <row r="20" spans="1:16" ht="15" x14ac:dyDescent="0.25">
      <c r="A20" s="33" t="s">
        <v>25</v>
      </c>
      <c r="B20" s="29"/>
      <c r="C20" s="29"/>
      <c r="D20" s="32"/>
      <c r="E20" s="35"/>
      <c r="F20" s="31"/>
      <c r="G20" s="31"/>
      <c r="H20" s="31"/>
      <c r="I20" s="31"/>
      <c r="J20" s="31"/>
      <c r="K20" s="31"/>
      <c r="L20" s="31"/>
      <c r="M20" s="31"/>
      <c r="N20" s="32"/>
      <c r="O20" s="31"/>
      <c r="P20" s="27">
        <f>(O20*1.04)*1.055</f>
        <v>0</v>
      </c>
    </row>
    <row r="21" spans="1:16" ht="15" x14ac:dyDescent="0.2">
      <c r="A21" s="33" t="s">
        <v>26</v>
      </c>
      <c r="B21" s="36"/>
      <c r="C21" s="36"/>
      <c r="D21" s="36"/>
      <c r="E21" s="35">
        <f>E20+E17+E19</f>
        <v>37060.263840793385</v>
      </c>
      <c r="F21" s="35">
        <f t="shared" ref="F21:N21" si="13">F20+F17+F19</f>
        <v>11221.847890992238</v>
      </c>
      <c r="G21" s="35">
        <f t="shared" si="13"/>
        <v>837.56196280193035</v>
      </c>
      <c r="H21" s="35">
        <f t="shared" si="13"/>
        <v>1000.6271237014214</v>
      </c>
      <c r="I21" s="35">
        <f t="shared" si="13"/>
        <v>17603.625324376855</v>
      </c>
      <c r="J21" s="35">
        <f t="shared" si="13"/>
        <v>67723.926142665834</v>
      </c>
      <c r="K21" s="35">
        <f t="shared" si="13"/>
        <v>203.17177842799748</v>
      </c>
      <c r="L21" s="35">
        <f t="shared" si="13"/>
        <v>67927.097921093824</v>
      </c>
      <c r="M21" s="35">
        <f t="shared" si="13"/>
        <v>13585.419584218766</v>
      </c>
      <c r="N21" s="35">
        <f t="shared" si="13"/>
        <v>81512.5175053126</v>
      </c>
      <c r="O21" s="35">
        <f>O20+O17+O19</f>
        <v>5.0220392081129273</v>
      </c>
      <c r="P21" s="27">
        <f>P17+P19</f>
        <v>5.6115977499999996</v>
      </c>
    </row>
    <row r="22" spans="1:16" ht="14.1" x14ac:dyDescent="0.3">
      <c r="A22" s="39"/>
      <c r="B22" s="40"/>
      <c r="C22" s="40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</row>
    <row r="23" spans="1:16" ht="14.25" hidden="1" x14ac:dyDescent="0.2">
      <c r="A23" s="39"/>
      <c r="B23" s="40"/>
      <c r="C23" s="40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</row>
    <row r="24" spans="1:16" ht="14.25" hidden="1" x14ac:dyDescent="0.2">
      <c r="A24" s="39"/>
      <c r="B24" s="40"/>
      <c r="C24" s="40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</row>
    <row r="25" spans="1:16" ht="14.25" hidden="1" x14ac:dyDescent="0.2">
      <c r="A25" s="39"/>
      <c r="B25" s="40"/>
      <c r="C25" s="40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ht="14.25" hidden="1" x14ac:dyDescent="0.2">
      <c r="A26" s="39"/>
      <c r="B26" s="40"/>
      <c r="C26" s="40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</row>
    <row r="27" spans="1:16" ht="12.75" hidden="1" customHeight="1" x14ac:dyDescent="0.25">
      <c r="A27" s="157" t="s">
        <v>2</v>
      </c>
      <c r="B27" s="185" t="s">
        <v>3</v>
      </c>
      <c r="C27" s="185" t="s">
        <v>4</v>
      </c>
      <c r="D27" s="186" t="s">
        <v>5</v>
      </c>
      <c r="E27" s="161" t="s">
        <v>31</v>
      </c>
      <c r="F27" s="141" t="s">
        <v>7</v>
      </c>
      <c r="G27" s="158" t="s">
        <v>8</v>
      </c>
      <c r="H27" s="158" t="s">
        <v>9</v>
      </c>
      <c r="I27" s="158" t="s">
        <v>32</v>
      </c>
      <c r="J27" s="183" t="s">
        <v>11</v>
      </c>
      <c r="K27" s="158" t="s">
        <v>12</v>
      </c>
      <c r="L27" s="184" t="s">
        <v>90</v>
      </c>
      <c r="M27" s="158" t="s">
        <v>14</v>
      </c>
      <c r="N27" s="178" t="s">
        <v>15</v>
      </c>
      <c r="O27" s="144" t="s">
        <v>16</v>
      </c>
      <c r="P27" s="144" t="s">
        <v>16</v>
      </c>
    </row>
    <row r="28" spans="1:16" ht="59.25" hidden="1" customHeight="1" x14ac:dyDescent="0.25">
      <c r="A28" s="157"/>
      <c r="B28" s="185"/>
      <c r="C28" s="185"/>
      <c r="D28" s="186"/>
      <c r="E28" s="162"/>
      <c r="F28" s="142"/>
      <c r="G28" s="182"/>
      <c r="H28" s="159"/>
      <c r="I28" s="159"/>
      <c r="J28" s="183"/>
      <c r="K28" s="159"/>
      <c r="L28" s="184"/>
      <c r="M28" s="159"/>
      <c r="N28" s="178"/>
      <c r="O28" s="144"/>
      <c r="P28" s="144"/>
    </row>
    <row r="29" spans="1:16" ht="14.1" hidden="1" x14ac:dyDescent="0.25">
      <c r="A29" s="157"/>
      <c r="B29" s="185"/>
      <c r="C29" s="185"/>
      <c r="D29" s="186"/>
      <c r="E29" s="43">
        <v>15724</v>
      </c>
      <c r="F29" s="44">
        <v>0.30280000000000001</v>
      </c>
      <c r="G29" s="45">
        <v>2.2599999999999999E-2</v>
      </c>
      <c r="H29" s="22">
        <v>2.7E-2</v>
      </c>
      <c r="I29" s="22">
        <v>0.47499999999999998</v>
      </c>
      <c r="J29" s="183"/>
      <c r="K29" s="22">
        <v>3.0000000000000001E-3</v>
      </c>
      <c r="L29" s="184"/>
      <c r="M29" s="23">
        <v>0.2</v>
      </c>
      <c r="N29" s="178"/>
      <c r="O29" s="144"/>
      <c r="P29" s="144"/>
    </row>
    <row r="30" spans="1:16" ht="14.25" hidden="1" x14ac:dyDescent="0.2">
      <c r="A30" s="157"/>
      <c r="B30" s="46">
        <v>1</v>
      </c>
      <c r="C30" s="46">
        <v>2</v>
      </c>
      <c r="D30" s="46">
        <v>3</v>
      </c>
      <c r="E30" s="46">
        <v>4</v>
      </c>
      <c r="F30" s="46">
        <v>5</v>
      </c>
      <c r="G30" s="46">
        <v>6</v>
      </c>
      <c r="H30" s="46">
        <v>7</v>
      </c>
      <c r="I30" s="46">
        <v>8</v>
      </c>
      <c r="J30" s="46">
        <v>9</v>
      </c>
      <c r="K30" s="47">
        <v>10</v>
      </c>
      <c r="L30" s="46">
        <v>11</v>
      </c>
      <c r="M30" s="47">
        <v>12</v>
      </c>
      <c r="N30" s="46">
        <v>13</v>
      </c>
      <c r="O30" s="46">
        <v>14</v>
      </c>
      <c r="P30" s="46">
        <v>14</v>
      </c>
    </row>
    <row r="31" spans="1:16" ht="15" x14ac:dyDescent="0.25">
      <c r="A31" s="26" t="s">
        <v>114</v>
      </c>
      <c r="B31" s="29">
        <f>'[5]5 категоря'!M15</f>
        <v>33</v>
      </c>
      <c r="C31" s="29">
        <v>2504</v>
      </c>
      <c r="D31" s="31">
        <f>B31/C31*0.2</f>
        <v>2.635782747603834E-3</v>
      </c>
      <c r="E31" s="30">
        <f>D31*$E$29*12</f>
        <v>497.34057507987222</v>
      </c>
      <c r="F31" s="31">
        <f>E31*$F$29</f>
        <v>150.59472613418532</v>
      </c>
      <c r="G31" s="31">
        <f>E31*$G$29</f>
        <v>11.239896996805111</v>
      </c>
      <c r="H31" s="31">
        <f>E31*$H$29</f>
        <v>13.42819552715655</v>
      </c>
      <c r="I31" s="31">
        <f>E31*$I$29</f>
        <v>236.2367731629393</v>
      </c>
      <c r="J31" s="31">
        <f>SUM(E31:I31)</f>
        <v>908.84016690095837</v>
      </c>
      <c r="K31" s="31">
        <f>J31*$K$29</f>
        <v>2.726520500702875</v>
      </c>
      <c r="L31" s="31">
        <f>SUM(J31:K31)</f>
        <v>911.56668740166128</v>
      </c>
      <c r="M31" s="31">
        <f>L31*$M$29</f>
        <v>182.31333748033228</v>
      </c>
      <c r="N31" s="31">
        <f>SUM(L31:M31)</f>
        <v>1093.8800248819934</v>
      </c>
      <c r="O31" s="31">
        <f>N31/$E$4/12</f>
        <v>6.7394659643175356E-2</v>
      </c>
      <c r="P31" s="27">
        <f>((O31*1.04)*1.055)*1.045</f>
        <v>7.7272964485714135E-2</v>
      </c>
    </row>
    <row r="32" spans="1:16" ht="15" x14ac:dyDescent="0.25">
      <c r="A32" s="26" t="s">
        <v>116</v>
      </c>
      <c r="B32" s="48">
        <f>'[5]5 категоря'!L15</f>
        <v>11</v>
      </c>
      <c r="C32" s="29">
        <v>2504</v>
      </c>
      <c r="D32" s="31">
        <f>B32/C32*0.59*4</f>
        <v>1.0367412140575079E-2</v>
      </c>
      <c r="E32" s="30">
        <f>D32*$E$29*12</f>
        <v>1956.2062619808303</v>
      </c>
      <c r="F32" s="31">
        <f>E32*$F$29</f>
        <v>592.33925612779547</v>
      </c>
      <c r="G32" s="31">
        <f>E32*$G$29</f>
        <v>44.210261520766764</v>
      </c>
      <c r="H32" s="31">
        <f>E32*$H$29</f>
        <v>52.817569073482417</v>
      </c>
      <c r="I32" s="31">
        <f>E32*$I$29</f>
        <v>929.19797444089431</v>
      </c>
      <c r="J32" s="31">
        <f>SUM(E32:I32)</f>
        <v>3574.7713231437692</v>
      </c>
      <c r="K32" s="31">
        <f>J32*$K$29</f>
        <v>10.724313969431307</v>
      </c>
      <c r="L32" s="31">
        <f>SUM(J32:K32)</f>
        <v>3585.4956371132007</v>
      </c>
      <c r="M32" s="31">
        <f>L32*$M$29</f>
        <v>717.09912742264021</v>
      </c>
      <c r="N32" s="31">
        <f>SUM(L32:M32)</f>
        <v>4302.594764535841</v>
      </c>
      <c r="O32" s="31">
        <f>N32/$E$4/12</f>
        <v>0.26508566126315641</v>
      </c>
      <c r="P32" s="31">
        <f>(0.25*1.055)*1.045</f>
        <v>0.27561874999999997</v>
      </c>
    </row>
    <row r="33" spans="1:16" ht="15" x14ac:dyDescent="0.2">
      <c r="A33" s="33" t="s">
        <v>35</v>
      </c>
      <c r="B33" s="33"/>
      <c r="C33" s="33"/>
      <c r="D33" s="49">
        <f>SUM(D31:D32)</f>
        <v>1.3003194888178913E-2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49">
        <f>SUM(O31:O32)</f>
        <v>0.33248032090633178</v>
      </c>
      <c r="P33" s="27">
        <f>P32+P31</f>
        <v>0.3528917144857141</v>
      </c>
    </row>
    <row r="34" spans="1:16" ht="15" x14ac:dyDescent="0.25">
      <c r="A34" s="179" t="s">
        <v>36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1"/>
      <c r="P34" s="54"/>
    </row>
    <row r="35" spans="1:16" ht="12.75" hidden="1" customHeight="1" x14ac:dyDescent="0.25">
      <c r="A35" s="157" t="s">
        <v>2</v>
      </c>
      <c r="B35" s="158" t="s">
        <v>3</v>
      </c>
      <c r="C35" s="158" t="s">
        <v>4</v>
      </c>
      <c r="D35" s="158" t="s">
        <v>5</v>
      </c>
      <c r="E35" s="161" t="s">
        <v>31</v>
      </c>
      <c r="F35" s="163" t="s">
        <v>7</v>
      </c>
      <c r="G35" s="165" t="s">
        <v>8</v>
      </c>
      <c r="H35" s="165" t="s">
        <v>9</v>
      </c>
      <c r="I35" s="165" t="s">
        <v>32</v>
      </c>
      <c r="J35" s="158" t="s">
        <v>11</v>
      </c>
      <c r="K35" s="158" t="s">
        <v>12</v>
      </c>
      <c r="L35" s="167" t="s">
        <v>87</v>
      </c>
      <c r="M35" s="158" t="s">
        <v>14</v>
      </c>
      <c r="N35" s="167" t="s">
        <v>15</v>
      </c>
      <c r="O35" s="141" t="s">
        <v>16</v>
      </c>
      <c r="P35" s="141" t="s">
        <v>16</v>
      </c>
    </row>
    <row r="36" spans="1:16" ht="63" hidden="1" customHeight="1" x14ac:dyDescent="0.25">
      <c r="A36" s="157"/>
      <c r="B36" s="159"/>
      <c r="C36" s="159"/>
      <c r="D36" s="159"/>
      <c r="E36" s="162"/>
      <c r="F36" s="164"/>
      <c r="G36" s="166"/>
      <c r="H36" s="177"/>
      <c r="I36" s="177"/>
      <c r="J36" s="159"/>
      <c r="K36" s="159"/>
      <c r="L36" s="168"/>
      <c r="M36" s="159"/>
      <c r="N36" s="168"/>
      <c r="O36" s="142"/>
      <c r="P36" s="142"/>
    </row>
    <row r="37" spans="1:16" ht="14.1" hidden="1" x14ac:dyDescent="0.25">
      <c r="A37" s="157"/>
      <c r="B37" s="160"/>
      <c r="C37" s="160"/>
      <c r="D37" s="160"/>
      <c r="E37" s="18">
        <v>15458</v>
      </c>
      <c r="F37" s="19">
        <v>0.30280000000000001</v>
      </c>
      <c r="G37" s="50">
        <v>0.19400000000000001</v>
      </c>
      <c r="H37" s="104">
        <v>0.16</v>
      </c>
      <c r="I37" s="104">
        <v>0.47499999999999998</v>
      </c>
      <c r="J37" s="160"/>
      <c r="K37" s="22">
        <v>3.0000000000000001E-3</v>
      </c>
      <c r="L37" s="169"/>
      <c r="M37" s="23">
        <v>0.2</v>
      </c>
      <c r="N37" s="169"/>
      <c r="O37" s="143"/>
      <c r="P37" s="143"/>
    </row>
    <row r="38" spans="1:16" ht="14.25" hidden="1" x14ac:dyDescent="0.2">
      <c r="A38" s="157"/>
      <c r="B38" s="24">
        <v>1</v>
      </c>
      <c r="C38" s="24">
        <v>2</v>
      </c>
      <c r="D38" s="24">
        <v>3</v>
      </c>
      <c r="E38" s="24">
        <v>4</v>
      </c>
      <c r="F38" s="24">
        <v>5</v>
      </c>
      <c r="G38" s="24">
        <v>6</v>
      </c>
      <c r="H38" s="24">
        <v>7</v>
      </c>
      <c r="I38" s="24">
        <v>8</v>
      </c>
      <c r="J38" s="24">
        <v>9</v>
      </c>
      <c r="K38" s="24">
        <v>10</v>
      </c>
      <c r="L38" s="24">
        <v>11</v>
      </c>
      <c r="M38" s="24">
        <v>12</v>
      </c>
      <c r="N38" s="24">
        <v>13</v>
      </c>
      <c r="O38" s="24">
        <v>14</v>
      </c>
      <c r="P38" s="24">
        <v>14</v>
      </c>
    </row>
    <row r="39" spans="1:16" ht="12.75" hidden="1" customHeight="1" x14ac:dyDescent="0.25">
      <c r="A39" s="51" t="s">
        <v>91</v>
      </c>
      <c r="B39" s="52" t="s">
        <v>18</v>
      </c>
      <c r="C39" s="52" t="s">
        <v>18</v>
      </c>
      <c r="D39" s="53"/>
      <c r="E39" s="52">
        <f>D39*E37*12</f>
        <v>0</v>
      </c>
      <c r="F39" s="52">
        <f>E39*$F$37</f>
        <v>0</v>
      </c>
      <c r="G39" s="52">
        <f>E39*$G$37</f>
        <v>0</v>
      </c>
      <c r="H39" s="52">
        <f>E39*$H$37</f>
        <v>0</v>
      </c>
      <c r="I39" s="52">
        <f>E39*$I$37</f>
        <v>0</v>
      </c>
      <c r="J39" s="52">
        <f>SUM(E39:I39)</f>
        <v>0</v>
      </c>
      <c r="K39" s="52">
        <f>J39*$K$37</f>
        <v>0</v>
      </c>
      <c r="L39" s="52">
        <f>SUM(J39:K39)</f>
        <v>0</v>
      </c>
      <c r="M39" s="52">
        <f>L39*$M$37</f>
        <v>0</v>
      </c>
      <c r="N39" s="52">
        <f>SUM(L39:M39)</f>
        <v>0</v>
      </c>
      <c r="O39" s="52">
        <f>N39/$E$4/12</f>
        <v>0</v>
      </c>
      <c r="P39" s="52">
        <f>O39/$E$4/12</f>
        <v>0</v>
      </c>
    </row>
    <row r="40" spans="1:16" ht="15" x14ac:dyDescent="0.25">
      <c r="A40" s="179" t="s">
        <v>39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34"/>
    </row>
    <row r="41" spans="1:16" ht="15" x14ac:dyDescent="0.25">
      <c r="A41" s="190" t="s">
        <v>40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71"/>
    </row>
    <row r="42" spans="1:16" ht="15" x14ac:dyDescent="0.25">
      <c r="A42" s="55" t="s">
        <v>41</v>
      </c>
      <c r="B42" s="187" t="s">
        <v>42</v>
      </c>
      <c r="C42" s="188"/>
      <c r="D42" s="126">
        <v>4.1000000000000003E-3</v>
      </c>
      <c r="E42" s="52">
        <f>D42*$E$37*12</f>
        <v>760.53360000000009</v>
      </c>
      <c r="F42" s="52">
        <f>E42*$F$37</f>
        <v>230.28957408000005</v>
      </c>
      <c r="G42" s="52">
        <f>E42*$G$37</f>
        <v>147.54351840000001</v>
      </c>
      <c r="H42" s="52">
        <f>E42*$H$37</f>
        <v>121.68537600000002</v>
      </c>
      <c r="I42" s="52">
        <f>E42*$I$37</f>
        <v>361.25346000000002</v>
      </c>
      <c r="J42" s="52">
        <f>SUM(E42:I42)</f>
        <v>1621.3055284800002</v>
      </c>
      <c r="K42" s="52">
        <f>J42*$K$37</f>
        <v>4.8639165854400011</v>
      </c>
      <c r="L42" s="52">
        <f>SUM(J42:K42)</f>
        <v>1626.1694450654402</v>
      </c>
      <c r="M42" s="52">
        <f>L42*$M$37</f>
        <v>325.23388901308806</v>
      </c>
      <c r="N42" s="52">
        <f>SUM(L42:M42)</f>
        <v>1951.4033340785281</v>
      </c>
      <c r="O42" s="52">
        <f>N42/$E$4/12</f>
        <v>0.12022722833883691</v>
      </c>
      <c r="P42" s="27">
        <f>((O42*1.04)*1.055)*1.045</f>
        <v>0.13784941410537357</v>
      </c>
    </row>
    <row r="43" spans="1:16" ht="15" x14ac:dyDescent="0.25">
      <c r="A43" s="55" t="s">
        <v>43</v>
      </c>
      <c r="B43" s="187" t="s">
        <v>42</v>
      </c>
      <c r="C43" s="188"/>
      <c r="D43" s="126">
        <v>2.3999999999999998E-3</v>
      </c>
      <c r="E43" s="52">
        <f>D43*$E$37*12</f>
        <v>445.19039999999995</v>
      </c>
      <c r="F43" s="52">
        <f t="shared" ref="F43:F44" si="14">E43*$F$37</f>
        <v>134.80365311999998</v>
      </c>
      <c r="G43" s="52">
        <f t="shared" ref="G43:G44" si="15">E43*$G$37</f>
        <v>86.3669376</v>
      </c>
      <c r="H43" s="52">
        <f t="shared" ref="H43:H44" si="16">E43*$H$37</f>
        <v>71.230463999999998</v>
      </c>
      <c r="I43" s="52">
        <f t="shared" ref="I43:I44" si="17">E43*$I$37</f>
        <v>211.46543999999997</v>
      </c>
      <c r="J43" s="52">
        <f t="shared" ref="J43:J44" si="18">SUM(E43:I43)</f>
        <v>949.05689471999995</v>
      </c>
      <c r="K43" s="52">
        <f t="shared" ref="K43:K44" si="19">J43*$K$37</f>
        <v>2.84717068416</v>
      </c>
      <c r="L43" s="52">
        <f t="shared" ref="L43:L44" si="20">SUM(J43:K43)</f>
        <v>951.90406540415995</v>
      </c>
      <c r="M43" s="52">
        <f t="shared" ref="M43:M44" si="21">L43*$M$37</f>
        <v>190.38081308083201</v>
      </c>
      <c r="N43" s="52">
        <f t="shared" ref="N43:N44" si="22">SUM(L43:M43)</f>
        <v>1142.2848784849921</v>
      </c>
      <c r="O43" s="52">
        <f t="shared" ref="O43" si="23">N43/$E$4</f>
        <v>0.84452296979475683</v>
      </c>
      <c r="P43" s="27">
        <f>((O43*1.04)*1.055)*1.045</f>
        <v>0.96830807956945353</v>
      </c>
    </row>
    <row r="44" spans="1:16" ht="15" x14ac:dyDescent="0.25">
      <c r="A44" s="58" t="s">
        <v>44</v>
      </c>
      <c r="B44" s="187" t="s">
        <v>30</v>
      </c>
      <c r="C44" s="188"/>
      <c r="D44" s="126">
        <v>2.9999999999999997E-4</v>
      </c>
      <c r="E44" s="52">
        <f>D44*$E$37*12</f>
        <v>55.648799999999994</v>
      </c>
      <c r="F44" s="52">
        <f t="shared" si="14"/>
        <v>16.850456639999997</v>
      </c>
      <c r="G44" s="52">
        <f t="shared" si="15"/>
        <v>10.7958672</v>
      </c>
      <c r="H44" s="52">
        <f t="shared" si="16"/>
        <v>8.9038079999999997</v>
      </c>
      <c r="I44" s="52">
        <f t="shared" si="17"/>
        <v>26.433179999999997</v>
      </c>
      <c r="J44" s="52">
        <f t="shared" si="18"/>
        <v>118.63211183999999</v>
      </c>
      <c r="K44" s="52">
        <f t="shared" si="19"/>
        <v>0.35589633552</v>
      </c>
      <c r="L44" s="52">
        <f t="shared" si="20"/>
        <v>118.98800817551999</v>
      </c>
      <c r="M44" s="52">
        <f t="shared" si="21"/>
        <v>23.797601635104002</v>
      </c>
      <c r="N44" s="52">
        <f t="shared" si="22"/>
        <v>142.78560981062401</v>
      </c>
      <c r="O44" s="52">
        <f>N44/$E$4/12</f>
        <v>8.7971142686953836E-3</v>
      </c>
      <c r="P44" s="27">
        <f>((O44*1.04)*1.055)*1.045</f>
        <v>1.008654249551514E-2</v>
      </c>
    </row>
    <row r="45" spans="1:16" ht="15" x14ac:dyDescent="0.25">
      <c r="A45" s="189" t="s">
        <v>45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52"/>
    </row>
    <row r="46" spans="1:16" ht="30" x14ac:dyDescent="0.25">
      <c r="A46" s="58" t="s">
        <v>46</v>
      </c>
      <c r="B46" s="187" t="s">
        <v>30</v>
      </c>
      <c r="C46" s="188"/>
      <c r="D46" s="59">
        <v>0</v>
      </c>
      <c r="E46" s="52">
        <f>D46*$E$37*12</f>
        <v>0</v>
      </c>
      <c r="F46" s="52">
        <f>E46*$F$37</f>
        <v>0</v>
      </c>
      <c r="G46" s="52">
        <f>E46*$G$37</f>
        <v>0</v>
      </c>
      <c r="H46" s="52">
        <f>E46*$H$37</f>
        <v>0</v>
      </c>
      <c r="I46" s="52">
        <f>E46*$I$37</f>
        <v>0</v>
      </c>
      <c r="J46" s="52">
        <f>SUM(E46:I46)</f>
        <v>0</v>
      </c>
      <c r="K46" s="52">
        <f>J46*$K$37</f>
        <v>0</v>
      </c>
      <c r="L46" s="52">
        <f>SUM(J46:K46)</f>
        <v>0</v>
      </c>
      <c r="M46" s="52">
        <f>L46*$M$37</f>
        <v>0</v>
      </c>
      <c r="N46" s="52">
        <f>SUM(L46:M46)</f>
        <v>0</v>
      </c>
      <c r="O46" s="52">
        <f>N46/$E$4/12</f>
        <v>0</v>
      </c>
      <c r="P46" s="27">
        <f t="shared" ref="P46" si="24">(O46*1.04)*1.055</f>
        <v>0</v>
      </c>
    </row>
    <row r="47" spans="1:16" ht="15" customHeight="1" x14ac:dyDescent="0.25">
      <c r="A47" s="58" t="s">
        <v>47</v>
      </c>
      <c r="B47" s="187" t="s">
        <v>30</v>
      </c>
      <c r="C47" s="188"/>
      <c r="D47" s="59">
        <v>2E-3</v>
      </c>
      <c r="E47" s="52">
        <f t="shared" ref="E47:E50" si="25">D47*$E$37*12</f>
        <v>370.99200000000002</v>
      </c>
      <c r="F47" s="52">
        <f t="shared" ref="F47:F50" si="26">E47*$F$37</f>
        <v>112.33637760000001</v>
      </c>
      <c r="G47" s="52">
        <f t="shared" ref="G47:G50" si="27">E47*$G$37</f>
        <v>71.972448</v>
      </c>
      <c r="H47" s="52">
        <f t="shared" ref="H47:H50" si="28">E47*$H$37</f>
        <v>59.358720000000005</v>
      </c>
      <c r="I47" s="52">
        <f t="shared" ref="I47:I50" si="29">E47*$I$37</f>
        <v>176.22120000000001</v>
      </c>
      <c r="J47" s="52">
        <f t="shared" ref="J47:J50" si="30">SUM(E47:I47)</f>
        <v>790.88074559999995</v>
      </c>
      <c r="K47" s="52">
        <f t="shared" ref="K47:K50" si="31">J47*$K$37</f>
        <v>2.3726422368</v>
      </c>
      <c r="L47" s="52">
        <f t="shared" ref="L47:L50" si="32">SUM(J47:K47)</f>
        <v>793.2533878367999</v>
      </c>
      <c r="M47" s="52">
        <f t="shared" ref="M47:M50" si="33">L47*$M$37</f>
        <v>158.65067756735999</v>
      </c>
      <c r="N47" s="52">
        <f t="shared" ref="N47:N50" si="34">SUM(L47:M47)</f>
        <v>951.90406540415984</v>
      </c>
      <c r="O47" s="52">
        <f>N47/$E$4/12</f>
        <v>5.8647428457969213E-2</v>
      </c>
      <c r="P47" s="27">
        <f>((O47*1.04)*1.055)*1.045</f>
        <v>6.7243616636767589E-2</v>
      </c>
    </row>
    <row r="48" spans="1:16" ht="15" x14ac:dyDescent="0.25">
      <c r="A48" s="58" t="s">
        <v>48</v>
      </c>
      <c r="B48" s="187" t="s">
        <v>30</v>
      </c>
      <c r="C48" s="188"/>
      <c r="D48" s="59">
        <v>3.0000000000000001E-3</v>
      </c>
      <c r="E48" s="52">
        <f t="shared" si="25"/>
        <v>556.48800000000006</v>
      </c>
      <c r="F48" s="52">
        <f t="shared" si="26"/>
        <v>168.50456640000002</v>
      </c>
      <c r="G48" s="52">
        <f t="shared" si="27"/>
        <v>107.95867200000001</v>
      </c>
      <c r="H48" s="52">
        <f t="shared" si="28"/>
        <v>89.038080000000008</v>
      </c>
      <c r="I48" s="52">
        <f t="shared" si="29"/>
        <v>264.33179999999999</v>
      </c>
      <c r="J48" s="52">
        <f t="shared" si="30"/>
        <v>1186.3211184000002</v>
      </c>
      <c r="K48" s="52">
        <f t="shared" si="31"/>
        <v>3.5589633552000004</v>
      </c>
      <c r="L48" s="52">
        <f t="shared" si="32"/>
        <v>1189.8800817552001</v>
      </c>
      <c r="M48" s="52">
        <f t="shared" si="33"/>
        <v>237.97601635104002</v>
      </c>
      <c r="N48" s="52">
        <f t="shared" si="34"/>
        <v>1427.8560981062401</v>
      </c>
      <c r="O48" s="52">
        <f>N48/$E$4/12</f>
        <v>8.7971142686953829E-2</v>
      </c>
      <c r="P48" s="27">
        <f>((O48*1.04)*1.055)*1.045</f>
        <v>0.10086542495515138</v>
      </c>
    </row>
    <row r="49" spans="1:16" ht="15" x14ac:dyDescent="0.25">
      <c r="A49" s="58" t="s">
        <v>49</v>
      </c>
      <c r="B49" s="187" t="s">
        <v>30</v>
      </c>
      <c r="C49" s="188"/>
      <c r="D49" s="59">
        <v>1E-3</v>
      </c>
      <c r="E49" s="52">
        <f t="shared" si="25"/>
        <v>185.49600000000001</v>
      </c>
      <c r="F49" s="52">
        <f t="shared" si="26"/>
        <v>56.168188800000003</v>
      </c>
      <c r="G49" s="52">
        <f t="shared" si="27"/>
        <v>35.986224</v>
      </c>
      <c r="H49" s="52">
        <f t="shared" si="28"/>
        <v>29.679360000000003</v>
      </c>
      <c r="I49" s="52">
        <f t="shared" si="29"/>
        <v>88.110600000000005</v>
      </c>
      <c r="J49" s="52">
        <f t="shared" si="30"/>
        <v>395.44037279999998</v>
      </c>
      <c r="K49" s="52">
        <f t="shared" si="31"/>
        <v>1.1863211184</v>
      </c>
      <c r="L49" s="52">
        <f t="shared" si="32"/>
        <v>396.62669391839995</v>
      </c>
      <c r="M49" s="52">
        <f t="shared" si="33"/>
        <v>79.325338783679996</v>
      </c>
      <c r="N49" s="52">
        <f t="shared" si="34"/>
        <v>475.95203270207992</v>
      </c>
      <c r="O49" s="52">
        <f>N49/$E$4/12</f>
        <v>2.9323714228984606E-2</v>
      </c>
      <c r="P49" s="27">
        <f>((O49*1.04)*1.055)*1.045</f>
        <v>3.3621808318383795E-2</v>
      </c>
    </row>
    <row r="50" spans="1:16" ht="15" x14ac:dyDescent="0.25">
      <c r="A50" s="58" t="s">
        <v>50</v>
      </c>
      <c r="B50" s="187" t="s">
        <v>30</v>
      </c>
      <c r="C50" s="188"/>
      <c r="D50" s="59">
        <v>5.0000000000000001E-3</v>
      </c>
      <c r="E50" s="52">
        <f t="shared" si="25"/>
        <v>927.48</v>
      </c>
      <c r="F50" s="52">
        <f t="shared" si="26"/>
        <v>280.84094400000004</v>
      </c>
      <c r="G50" s="52">
        <f t="shared" si="27"/>
        <v>179.93112000000002</v>
      </c>
      <c r="H50" s="52">
        <f t="shared" si="28"/>
        <v>148.39680000000001</v>
      </c>
      <c r="I50" s="52">
        <f t="shared" si="29"/>
        <v>440.553</v>
      </c>
      <c r="J50" s="52">
        <f t="shared" si="30"/>
        <v>1977.2018640000001</v>
      </c>
      <c r="K50" s="52">
        <f t="shared" si="31"/>
        <v>5.9316055920000004</v>
      </c>
      <c r="L50" s="52">
        <f t="shared" si="32"/>
        <v>1983.1334695920002</v>
      </c>
      <c r="M50" s="52">
        <f t="shared" si="33"/>
        <v>396.62669391840006</v>
      </c>
      <c r="N50" s="52">
        <f t="shared" si="34"/>
        <v>2379.7601635104002</v>
      </c>
      <c r="O50" s="52">
        <f>N50/$E$4/12</f>
        <v>0.14661857114492305</v>
      </c>
      <c r="P50" s="27">
        <f>((O50*1.04)*1.055)*1.045</f>
        <v>0.168109041591919</v>
      </c>
    </row>
    <row r="51" spans="1:16" ht="15" x14ac:dyDescent="0.25">
      <c r="A51" s="179" t="s">
        <v>89</v>
      </c>
      <c r="B51" s="180"/>
      <c r="C51" s="181"/>
      <c r="D51" s="33"/>
      <c r="E51" s="33"/>
      <c r="F51" s="33"/>
      <c r="G51" s="33"/>
      <c r="H51" s="33"/>
      <c r="I51" s="33"/>
      <c r="J51" s="33">
        <f>0.37*E4*12</f>
        <v>6005.4551999999994</v>
      </c>
      <c r="K51" s="33">
        <f>J51*0.3%</f>
        <v>18.0163656</v>
      </c>
      <c r="L51" s="33">
        <f>SUM(J51:K51)</f>
        <v>6023.4715655999998</v>
      </c>
      <c r="M51" s="33">
        <f>L51*0.2</f>
        <v>1204.6943131200001</v>
      </c>
      <c r="N51" s="33">
        <f>SUM(L51:M51)</f>
        <v>7228.1658787199995</v>
      </c>
      <c r="O51" s="31">
        <f>N51/E4/12</f>
        <v>0.44533200000000001</v>
      </c>
      <c r="P51" s="27">
        <f>((O51*1.04)*1.055)*1.045</f>
        <v>0.51060609256799994</v>
      </c>
    </row>
    <row r="52" spans="1:16" ht="14.1" x14ac:dyDescent="0.3">
      <c r="A52" s="203"/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52"/>
    </row>
    <row r="53" spans="1:16" ht="15" x14ac:dyDescent="0.25">
      <c r="A53" s="179" t="s">
        <v>72</v>
      </c>
      <c r="B53" s="180"/>
      <c r="C53" s="181"/>
      <c r="D53" s="33"/>
      <c r="E53" s="33"/>
      <c r="F53" s="33"/>
      <c r="G53" s="33"/>
      <c r="H53" s="33"/>
      <c r="I53" s="33"/>
      <c r="J53" s="33">
        <f>1.49*E4*12</f>
        <v>24184.130399999998</v>
      </c>
      <c r="K53" s="33">
        <f>J53*0.3%</f>
        <v>72.552391200000002</v>
      </c>
      <c r="L53" s="33">
        <f>SUM(J53:K53)</f>
        <v>24256.682791199997</v>
      </c>
      <c r="M53" s="33">
        <f>L53*0.2</f>
        <v>4851.3365582399992</v>
      </c>
      <c r="N53" s="33">
        <f>SUM(L53:M53)</f>
        <v>29108.019349439997</v>
      </c>
      <c r="O53" s="31">
        <f>N53/E4/12</f>
        <v>1.7933639999999997</v>
      </c>
      <c r="P53" s="27">
        <f>((O53*1.04)*1.055)*1.045</f>
        <v>2.0562245349359993</v>
      </c>
    </row>
    <row r="54" spans="1:16" ht="14.1" x14ac:dyDescent="0.3">
      <c r="A54" s="203"/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52"/>
    </row>
    <row r="55" spans="1:16" ht="15" x14ac:dyDescent="0.25">
      <c r="A55" s="220" t="s">
        <v>73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52"/>
    </row>
    <row r="56" spans="1:16" ht="15" x14ac:dyDescent="0.25">
      <c r="A56" s="124" t="s">
        <v>75</v>
      </c>
      <c r="B56" s="125"/>
      <c r="C56" s="125"/>
      <c r="D56" s="125"/>
      <c r="E56" s="125"/>
      <c r="F56" s="125"/>
      <c r="G56" s="125"/>
      <c r="H56" s="125"/>
      <c r="I56" s="125"/>
      <c r="J56" s="16"/>
      <c r="K56" s="125"/>
      <c r="L56" s="66">
        <f>0.275*E4*12</f>
        <v>4463.5140000000001</v>
      </c>
      <c r="M56" s="66">
        <f>L56*0.2</f>
        <v>892.70280000000002</v>
      </c>
      <c r="N56" s="66">
        <f>L56+M56</f>
        <v>5356.2168000000001</v>
      </c>
      <c r="O56" s="31">
        <f>N56/E4/12</f>
        <v>0.33</v>
      </c>
      <c r="P56" s="52">
        <v>0.71</v>
      </c>
    </row>
    <row r="57" spans="1:16" ht="15" x14ac:dyDescent="0.25">
      <c r="A57" s="201" t="s">
        <v>22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32">
        <f>SUM(O56:O56)</f>
        <v>0.33</v>
      </c>
      <c r="P57" s="31">
        <f>P56</f>
        <v>0.71</v>
      </c>
    </row>
    <row r="58" spans="1:16" ht="15" x14ac:dyDescent="0.25">
      <c r="A58" s="203"/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19"/>
      <c r="P58" s="34"/>
    </row>
    <row r="59" spans="1:16" ht="29.25" customHeight="1" x14ac:dyDescent="0.2">
      <c r="A59" s="201" t="s">
        <v>124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32">
        <f>O57+O53+O51+O50+O49+O48+O47+O46+O44+O43+O42+O39+O33+O21</f>
        <v>9.2193236979403785</v>
      </c>
      <c r="P59" s="32">
        <f>P57+P53+P51+P50+P49+P48+P47+P46+P44+P43+P42+P39+P33+P21</f>
        <v>10.727404019662277</v>
      </c>
    </row>
    <row r="60" spans="1:16" ht="15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</row>
    <row r="61" spans="1:16" ht="14.25" x14ac:dyDescent="0.2">
      <c r="A61" s="240" t="s">
        <v>95</v>
      </c>
      <c r="B61" s="240"/>
      <c r="C61" s="240"/>
      <c r="D61" s="240"/>
      <c r="E61" s="240"/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40"/>
    </row>
    <row r="63" spans="1:16" x14ac:dyDescent="0.2">
      <c r="A63" s="202"/>
      <c r="B63" s="202"/>
      <c r="C63" s="202"/>
      <c r="D63" s="202"/>
      <c r="E63" s="7"/>
      <c r="F63" s="7"/>
      <c r="G63" s="7"/>
      <c r="H63" s="7"/>
      <c r="I63" s="7"/>
      <c r="J63" s="7"/>
      <c r="K63" s="7"/>
      <c r="L63" s="202" t="s">
        <v>78</v>
      </c>
      <c r="M63" s="202"/>
      <c r="N63" s="202"/>
      <c r="O63" s="202"/>
      <c r="P63" s="1"/>
    </row>
    <row r="100" spans="4:4" x14ac:dyDescent="0.2">
      <c r="D100" s="2">
        <f>D42+D43+D44+D46+D47+D48+D49+D50</f>
        <v>1.7800000000000003E-2</v>
      </c>
    </row>
  </sheetData>
  <mergeCells count="76">
    <mergeCell ref="A5:P5"/>
    <mergeCell ref="A57:N57"/>
    <mergeCell ref="A58:O58"/>
    <mergeCell ref="A59:N59"/>
    <mergeCell ref="A63:D63"/>
    <mergeCell ref="L63:O63"/>
    <mergeCell ref="A61:P61"/>
    <mergeCell ref="A55:O55"/>
    <mergeCell ref="B44:C44"/>
    <mergeCell ref="A45:O45"/>
    <mergeCell ref="B46:C46"/>
    <mergeCell ref="B47:C47"/>
    <mergeCell ref="B48:C48"/>
    <mergeCell ref="B49:C49"/>
    <mergeCell ref="B50:C50"/>
    <mergeCell ref="A51:C51"/>
    <mergeCell ref="A52:O52"/>
    <mergeCell ref="A53:C53"/>
    <mergeCell ref="A54:O54"/>
    <mergeCell ref="B43:C43"/>
    <mergeCell ref="H35:H36"/>
    <mergeCell ref="I35:I36"/>
    <mergeCell ref="J35:J37"/>
    <mergeCell ref="K35:K36"/>
    <mergeCell ref="A40:O40"/>
    <mergeCell ref="A41:O41"/>
    <mergeCell ref="B42:C42"/>
    <mergeCell ref="L35:L37"/>
    <mergeCell ref="M35:M36"/>
    <mergeCell ref="A34:O34"/>
    <mergeCell ref="A35:A38"/>
    <mergeCell ref="B35:B37"/>
    <mergeCell ref="C35:C37"/>
    <mergeCell ref="D35:D37"/>
    <mergeCell ref="E35:E36"/>
    <mergeCell ref="F35:F36"/>
    <mergeCell ref="G35:G36"/>
    <mergeCell ref="N35:N37"/>
    <mergeCell ref="O35:O37"/>
    <mergeCell ref="L6:L8"/>
    <mergeCell ref="M6:M7"/>
    <mergeCell ref="N6:N8"/>
    <mergeCell ref="N27:N29"/>
    <mergeCell ref="O27:O29"/>
    <mergeCell ref="L27:L29"/>
    <mergeCell ref="M27:M28"/>
    <mergeCell ref="F27:F28"/>
    <mergeCell ref="G27:G28"/>
    <mergeCell ref="I6:I7"/>
    <mergeCell ref="J6:J8"/>
    <mergeCell ref="K6:K7"/>
    <mergeCell ref="H27:H28"/>
    <mergeCell ref="I27:I28"/>
    <mergeCell ref="J27:J29"/>
    <mergeCell ref="K27:K28"/>
    <mergeCell ref="A27:A30"/>
    <mergeCell ref="B27:B29"/>
    <mergeCell ref="C27:C29"/>
    <mergeCell ref="D27:D29"/>
    <mergeCell ref="E27:E28"/>
    <mergeCell ref="P6:P8"/>
    <mergeCell ref="P27:P29"/>
    <mergeCell ref="P35:P37"/>
    <mergeCell ref="A2:P2"/>
    <mergeCell ref="A3:P3"/>
    <mergeCell ref="A6:A9"/>
    <mergeCell ref="B6:B8"/>
    <mergeCell ref="C6:C8"/>
    <mergeCell ref="D6:D8"/>
    <mergeCell ref="E6:E7"/>
    <mergeCell ref="F6:F7"/>
    <mergeCell ref="G6:G7"/>
    <mergeCell ref="H6:H7"/>
    <mergeCell ref="O6:O8"/>
    <mergeCell ref="A10:O10"/>
    <mergeCell ref="A18:O18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0"/>
  <sheetViews>
    <sheetView tabSelected="1" zoomScale="180" zoomScaleNormal="180" workbookViewId="0">
      <selection activeCell="R16" sqref="R16"/>
    </sheetView>
  </sheetViews>
  <sheetFormatPr defaultColWidth="9.140625" defaultRowHeight="12.75" x14ac:dyDescent="0.2"/>
  <cols>
    <col min="1" max="1" width="65.7109375" style="2" customWidth="1"/>
    <col min="2" max="3" width="6.7109375" style="2" hidden="1" customWidth="1"/>
    <col min="4" max="4" width="6.85546875" style="2" hidden="1" customWidth="1"/>
    <col min="5" max="5" width="9" style="2" hidden="1" customWidth="1"/>
    <col min="6" max="9" width="0" style="2" hidden="1" customWidth="1"/>
    <col min="10" max="10" width="11" style="2" hidden="1" customWidth="1"/>
    <col min="11" max="14" width="0" style="2" hidden="1" customWidth="1"/>
    <col min="15" max="15" width="15.5703125" style="2" hidden="1" customWidth="1"/>
    <col min="16" max="16" width="15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5.75" hidden="1" customHeight="1" x14ac:dyDescent="0.2">
      <c r="A4" s="69" t="s">
        <v>0</v>
      </c>
      <c r="B4" s="15"/>
      <c r="C4" s="15"/>
      <c r="D4" s="15"/>
      <c r="E4" s="82">
        <v>1352.58</v>
      </c>
      <c r="F4" s="15" t="s">
        <v>1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4.25" x14ac:dyDescent="0.2">
      <c r="A5" s="155" t="s">
        <v>102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92.25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161" t="s">
        <v>92</v>
      </c>
      <c r="F6" s="163" t="s">
        <v>7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87</v>
      </c>
      <c r="M6" s="158" t="s">
        <v>14</v>
      </c>
      <c r="N6" s="167" t="s">
        <v>15</v>
      </c>
      <c r="O6" s="141" t="s">
        <v>16</v>
      </c>
      <c r="P6" s="141" t="s">
        <v>137</v>
      </c>
    </row>
    <row r="7" spans="1:16" ht="17.25" hidden="1" customHeight="1" x14ac:dyDescent="0.2">
      <c r="A7" s="157"/>
      <c r="B7" s="159"/>
      <c r="C7" s="159"/>
      <c r="D7" s="159"/>
      <c r="E7" s="162"/>
      <c r="F7" s="164"/>
      <c r="G7" s="166"/>
      <c r="H7" s="177"/>
      <c r="I7" s="177"/>
      <c r="J7" s="159"/>
      <c r="K7" s="159"/>
      <c r="L7" s="168"/>
      <c r="M7" s="159"/>
      <c r="N7" s="168"/>
      <c r="O7" s="142"/>
      <c r="P7" s="142"/>
    </row>
    <row r="8" spans="1:16" ht="15" hidden="1" x14ac:dyDescent="0.2">
      <c r="A8" s="157"/>
      <c r="B8" s="160"/>
      <c r="C8" s="160"/>
      <c r="D8" s="160"/>
      <c r="E8" s="18">
        <v>12792</v>
      </c>
      <c r="F8" s="19">
        <v>0.30280000000000001</v>
      </c>
      <c r="G8" s="5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23">
        <v>0.2</v>
      </c>
      <c r="N8" s="169"/>
      <c r="O8" s="143"/>
      <c r="P8" s="143"/>
    </row>
    <row r="9" spans="1:16" ht="14.25" hidden="1" x14ac:dyDescent="0.2">
      <c r="A9" s="157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24">
        <v>12</v>
      </c>
      <c r="N9" s="24">
        <v>13</v>
      </c>
      <c r="O9" s="24">
        <v>14</v>
      </c>
      <c r="P9" s="24">
        <v>14</v>
      </c>
    </row>
    <row r="10" spans="1:16" ht="15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71"/>
    </row>
    <row r="11" spans="1:16" ht="45" customHeight="1" x14ac:dyDescent="0.2">
      <c r="A11" s="26" t="s">
        <v>106</v>
      </c>
      <c r="B11" s="27" t="s">
        <v>18</v>
      </c>
      <c r="C11" s="27" t="s">
        <v>18</v>
      </c>
      <c r="D11" s="27">
        <f>SUM(D12:D14)</f>
        <v>1.8732782369146005E-2</v>
      </c>
      <c r="E11" s="27">
        <f t="shared" ref="E11:O11" si="0">SUM(E12:E14)</f>
        <v>2875.5570247933883</v>
      </c>
      <c r="F11" s="27">
        <f t="shared" si="0"/>
        <v>870.71866710743802</v>
      </c>
      <c r="G11" s="27">
        <f t="shared" si="0"/>
        <v>64.987588760330567</v>
      </c>
      <c r="H11" s="27">
        <f t="shared" si="0"/>
        <v>77.640039669421483</v>
      </c>
      <c r="I11" s="27">
        <f t="shared" si="0"/>
        <v>1365.8895867768595</v>
      </c>
      <c r="J11" s="27">
        <f t="shared" si="0"/>
        <v>5254.7929071074377</v>
      </c>
      <c r="K11" s="27">
        <f t="shared" si="0"/>
        <v>15.764378721322313</v>
      </c>
      <c r="L11" s="27">
        <f t="shared" si="0"/>
        <v>5270.5572858287596</v>
      </c>
      <c r="M11" s="27">
        <f t="shared" si="0"/>
        <v>1054.111457165752</v>
      </c>
      <c r="N11" s="27">
        <f t="shared" si="0"/>
        <v>6324.6687429945114</v>
      </c>
      <c r="O11" s="27">
        <f t="shared" si="0"/>
        <v>0.38966695395679074</v>
      </c>
      <c r="P11" s="27">
        <f>((O11*1.04)*1.055)*1.045</f>
        <v>0.44678199806605334</v>
      </c>
    </row>
    <row r="12" spans="1:16" ht="15" x14ac:dyDescent="0.25">
      <c r="A12" s="28" t="s">
        <v>19</v>
      </c>
      <c r="B12" s="29">
        <f>'[5]5 категоря'!U15</f>
        <v>68</v>
      </c>
      <c r="C12" s="29">
        <v>3630</v>
      </c>
      <c r="D12" s="30">
        <f>B12/C12</f>
        <v>1.8732782369146005E-2</v>
      </c>
      <c r="E12" s="30">
        <f>D12*$E$8*12</f>
        <v>2875.5570247933883</v>
      </c>
      <c r="F12" s="31">
        <f>E12*$F$8</f>
        <v>870.71866710743802</v>
      </c>
      <c r="G12" s="31">
        <f>E12*$G$8</f>
        <v>64.987588760330567</v>
      </c>
      <c r="H12" s="31">
        <f>E12*$H$8</f>
        <v>77.640039669421483</v>
      </c>
      <c r="I12" s="31">
        <f>E12*$I$8</f>
        <v>1365.8895867768595</v>
      </c>
      <c r="J12" s="31">
        <f>SUM(E12:I12)</f>
        <v>5254.7929071074377</v>
      </c>
      <c r="K12" s="31">
        <f>J12*$K$8</f>
        <v>15.764378721322313</v>
      </c>
      <c r="L12" s="32">
        <f>SUM(J12:K12)</f>
        <v>5270.5572858287596</v>
      </c>
      <c r="M12" s="31">
        <f>L12*$M$8</f>
        <v>1054.111457165752</v>
      </c>
      <c r="N12" s="32">
        <f>SUM(L12:M12)</f>
        <v>6324.6687429945114</v>
      </c>
      <c r="O12" s="31">
        <f>N12/$E$4/12</f>
        <v>0.38966695395679074</v>
      </c>
      <c r="P12" s="27">
        <f>((O12*1.04)*1.055)*1.045</f>
        <v>0.44678199806605334</v>
      </c>
    </row>
    <row r="13" spans="1:16" ht="15" x14ac:dyDescent="0.25">
      <c r="A13" s="28" t="s">
        <v>20</v>
      </c>
      <c r="B13" s="29">
        <f>'[5]5 категоря'!V15</f>
        <v>0</v>
      </c>
      <c r="C13" s="29">
        <v>3080</v>
      </c>
      <c r="D13" s="30">
        <f t="shared" ref="D13:D14" si="1">B13/C13</f>
        <v>0</v>
      </c>
      <c r="E13" s="30">
        <f>D13*$E$8*12</f>
        <v>0</v>
      </c>
      <c r="F13" s="31">
        <f t="shared" ref="F13:F14" si="2">E13*$F$8</f>
        <v>0</v>
      </c>
      <c r="G13" s="31">
        <f t="shared" ref="G13:G14" si="3">E13*$G$8</f>
        <v>0</v>
      </c>
      <c r="H13" s="31">
        <f t="shared" ref="H13:H14" si="4">E13*$H$8</f>
        <v>0</v>
      </c>
      <c r="I13" s="31">
        <f t="shared" ref="I13:I14" si="5">E13*$I$8</f>
        <v>0</v>
      </c>
      <c r="J13" s="31">
        <f t="shared" ref="J13:J14" si="6">SUM(E13:I13)</f>
        <v>0</v>
      </c>
      <c r="K13" s="31">
        <f t="shared" ref="K13:K14" si="7">J13*$K$8</f>
        <v>0</v>
      </c>
      <c r="L13" s="32">
        <f t="shared" ref="L13:L14" si="8">SUM(J13:K13)</f>
        <v>0</v>
      </c>
      <c r="M13" s="31">
        <f t="shared" ref="M13:M14" si="9">L13*$M$8</f>
        <v>0</v>
      </c>
      <c r="N13" s="32">
        <f t="shared" ref="N13:N14" si="10">SUM(L13:M13)</f>
        <v>0</v>
      </c>
      <c r="O13" s="31">
        <f>N13/$E$4/12</f>
        <v>0</v>
      </c>
      <c r="P13" s="27">
        <f t="shared" ref="P13:P14" si="11">(O13*1.04)*1.055</f>
        <v>0</v>
      </c>
    </row>
    <row r="14" spans="1:16" ht="15" x14ac:dyDescent="0.25">
      <c r="A14" s="28" t="s">
        <v>21</v>
      </c>
      <c r="B14" s="29">
        <f>'[5]5 категоря'!W15</f>
        <v>0</v>
      </c>
      <c r="C14" s="29">
        <v>2500</v>
      </c>
      <c r="D14" s="30">
        <f t="shared" si="1"/>
        <v>0</v>
      </c>
      <c r="E14" s="30">
        <f>D14*$E$8*12</f>
        <v>0</v>
      </c>
      <c r="F14" s="31">
        <f t="shared" si="2"/>
        <v>0</v>
      </c>
      <c r="G14" s="31">
        <f t="shared" si="3"/>
        <v>0</v>
      </c>
      <c r="H14" s="31">
        <f t="shared" si="4"/>
        <v>0</v>
      </c>
      <c r="I14" s="31">
        <f t="shared" si="5"/>
        <v>0</v>
      </c>
      <c r="J14" s="31">
        <f t="shared" si="6"/>
        <v>0</v>
      </c>
      <c r="K14" s="31">
        <f t="shared" si="7"/>
        <v>0</v>
      </c>
      <c r="L14" s="32">
        <f t="shared" si="8"/>
        <v>0</v>
      </c>
      <c r="M14" s="31">
        <f t="shared" si="9"/>
        <v>0</v>
      </c>
      <c r="N14" s="32">
        <f t="shared" si="10"/>
        <v>0</v>
      </c>
      <c r="O14" s="31">
        <f>N14/$E$4/12</f>
        <v>0</v>
      </c>
      <c r="P14" s="27">
        <f t="shared" si="11"/>
        <v>0</v>
      </c>
    </row>
    <row r="15" spans="1:16" ht="15" x14ac:dyDescent="0.25">
      <c r="A15" s="26" t="s">
        <v>98</v>
      </c>
      <c r="B15" s="29">
        <f>'[5]5 категоря'!S15*23%</f>
        <v>171.12</v>
      </c>
      <c r="C15" s="29">
        <v>30000</v>
      </c>
      <c r="D15" s="31">
        <f>B15/C15</f>
        <v>5.7039999999999999E-3</v>
      </c>
      <c r="E15" s="30">
        <f>$E$8*D15*12</f>
        <v>875.586816</v>
      </c>
      <c r="F15" s="31">
        <f>E15*$F$8</f>
        <v>265.12768788480003</v>
      </c>
      <c r="G15" s="31">
        <f>E15*$G$8</f>
        <v>19.788262041599999</v>
      </c>
      <c r="H15" s="31">
        <f>E15*$H$8</f>
        <v>23.640844032</v>
      </c>
      <c r="I15" s="31">
        <f>E15*$I$8</f>
        <v>415.9037376</v>
      </c>
      <c r="J15" s="31">
        <f>E15+F15+G15+H15+I15</f>
        <v>1600.0473475583999</v>
      </c>
      <c r="K15" s="31">
        <f>J15*$K$8</f>
        <v>4.8001420426751995</v>
      </c>
      <c r="L15" s="32">
        <f>J15+K15</f>
        <v>1604.847489601075</v>
      </c>
      <c r="M15" s="31">
        <f>L15*$M$8</f>
        <v>320.96949792021502</v>
      </c>
      <c r="N15" s="32">
        <f>L15+M15</f>
        <v>1925.81698752129</v>
      </c>
      <c r="O15" s="31">
        <f>N15/$E$4/12</f>
        <v>0.11865083688957956</v>
      </c>
      <c r="P15" s="27">
        <f>((O15*1.04)*1.055)*1.045</f>
        <v>0.13604196465583276</v>
      </c>
    </row>
    <row r="16" spans="1:16" ht="45" x14ac:dyDescent="0.25">
      <c r="A16" s="28" t="s">
        <v>107</v>
      </c>
      <c r="B16" s="29">
        <f>'[5]5 категоря'!T15*35%</f>
        <v>67.199999999999989</v>
      </c>
      <c r="C16" s="29">
        <v>2340</v>
      </c>
      <c r="D16" s="31">
        <f>B16/C16</f>
        <v>2.8717948717948714E-2</v>
      </c>
      <c r="E16" s="30">
        <f>$E$8*D16*12</f>
        <v>4408.32</v>
      </c>
      <c r="F16" s="31">
        <f>E16*$F$8</f>
        <v>1334.8392959999999</v>
      </c>
      <c r="G16" s="31">
        <f>E16*$G$8</f>
        <v>99.62803199999999</v>
      </c>
      <c r="H16" s="31">
        <f>E16*$H$8</f>
        <v>119.02463999999999</v>
      </c>
      <c r="I16" s="31">
        <f>E16*$I$8</f>
        <v>2093.9519999999998</v>
      </c>
      <c r="J16" s="31">
        <f>E16+F16+G16+H16+I16</f>
        <v>8055.7639679999993</v>
      </c>
      <c r="K16" s="31">
        <f>J16*$K$8</f>
        <v>24.167291903999999</v>
      </c>
      <c r="L16" s="32">
        <f>J16+K16</f>
        <v>8079.9312599039995</v>
      </c>
      <c r="M16" s="31">
        <f>L16*$M$8</f>
        <v>1615.9862519808</v>
      </c>
      <c r="N16" s="32">
        <f>L16+M16</f>
        <v>9695.9175118847998</v>
      </c>
      <c r="O16" s="31">
        <f>N16/$E$4/12</f>
        <v>0.59737178280796699</v>
      </c>
      <c r="P16" s="27">
        <f>((O16*1.04)*1.055)*1.045</f>
        <v>0.68493095450126185</v>
      </c>
    </row>
    <row r="17" spans="1:16" ht="15" x14ac:dyDescent="0.2">
      <c r="A17" s="33" t="s">
        <v>22</v>
      </c>
      <c r="B17" s="32"/>
      <c r="C17" s="32"/>
      <c r="D17" s="32">
        <f>SUM(D12:D16)</f>
        <v>5.3154731087094717E-2</v>
      </c>
      <c r="E17" s="35">
        <f>SUM(E12:E16)</f>
        <v>8159.463840793388</v>
      </c>
      <c r="F17" s="35">
        <f t="shared" ref="F17:O17" si="12">SUM(F12:F16)</f>
        <v>2470.6856509922382</v>
      </c>
      <c r="G17" s="35">
        <f t="shared" si="12"/>
        <v>184.40388280193056</v>
      </c>
      <c r="H17" s="35">
        <f t="shared" si="12"/>
        <v>220.30552370142146</v>
      </c>
      <c r="I17" s="35">
        <f t="shared" si="12"/>
        <v>3875.7453243768591</v>
      </c>
      <c r="J17" s="35">
        <f t="shared" si="12"/>
        <v>14910.604222665837</v>
      </c>
      <c r="K17" s="35">
        <f t="shared" si="12"/>
        <v>44.731812667997517</v>
      </c>
      <c r="L17" s="35">
        <f t="shared" si="12"/>
        <v>14955.336035333834</v>
      </c>
      <c r="M17" s="35">
        <f t="shared" si="12"/>
        <v>2991.067207066767</v>
      </c>
      <c r="N17" s="35">
        <f t="shared" si="12"/>
        <v>17946.4032424006</v>
      </c>
      <c r="O17" s="35">
        <f t="shared" si="12"/>
        <v>1.1056895736543373</v>
      </c>
      <c r="P17" s="27">
        <f>(1.12*1.055)*1.045</f>
        <v>1.234772</v>
      </c>
    </row>
    <row r="18" spans="1:16" ht="15" x14ac:dyDescent="0.2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27"/>
    </row>
    <row r="19" spans="1:16" ht="45" x14ac:dyDescent="0.25">
      <c r="A19" s="28" t="s">
        <v>24</v>
      </c>
      <c r="B19" s="29">
        <f>'[5]5 категоря'!Y15</f>
        <v>200.7</v>
      </c>
      <c r="C19" s="29">
        <f>'[5]5 категоря'!Z53</f>
        <v>1066</v>
      </c>
      <c r="D19" s="32">
        <f>B19/C19</f>
        <v>0.18827392120075045</v>
      </c>
      <c r="E19" s="30">
        <f>E8*D19*12</f>
        <v>28900.799999999996</v>
      </c>
      <c r="F19" s="31">
        <f>E19*F8</f>
        <v>8751.1622399999997</v>
      </c>
      <c r="G19" s="31">
        <f>E19*G8</f>
        <v>653.15807999999981</v>
      </c>
      <c r="H19" s="31">
        <f>E19*H8</f>
        <v>780.32159999999988</v>
      </c>
      <c r="I19" s="31">
        <f>E19*I8</f>
        <v>13727.879999999997</v>
      </c>
      <c r="J19" s="31">
        <f>E19+F19+G19+H19+I19</f>
        <v>52813.321919999995</v>
      </c>
      <c r="K19" s="31">
        <f>J19*K8</f>
        <v>158.43996575999998</v>
      </c>
      <c r="L19" s="31">
        <f>J19+K19</f>
        <v>52971.761885759995</v>
      </c>
      <c r="M19" s="31">
        <f>L19*M8</f>
        <v>10594.352377151999</v>
      </c>
      <c r="N19" s="32">
        <f>L19+M19</f>
        <v>63566.114262911993</v>
      </c>
      <c r="O19" s="31">
        <f>N19/$E$4/12</f>
        <v>3.9163496344585904</v>
      </c>
      <c r="P19" s="27">
        <f>(3.97*1.055)*1.045</f>
        <v>4.3768257499999992</v>
      </c>
    </row>
    <row r="20" spans="1:16" ht="15" x14ac:dyDescent="0.25">
      <c r="A20" s="33" t="s">
        <v>25</v>
      </c>
      <c r="B20" s="29"/>
      <c r="C20" s="29"/>
      <c r="D20" s="32"/>
      <c r="E20" s="35"/>
      <c r="F20" s="31"/>
      <c r="G20" s="31"/>
      <c r="H20" s="31"/>
      <c r="I20" s="31"/>
      <c r="J20" s="31"/>
      <c r="K20" s="31"/>
      <c r="L20" s="31"/>
      <c r="M20" s="31"/>
      <c r="N20" s="32"/>
      <c r="O20" s="31"/>
      <c r="P20" s="27">
        <f>(O20*1.04)*1.055</f>
        <v>0</v>
      </c>
    </row>
    <row r="21" spans="1:16" ht="15" x14ac:dyDescent="0.2">
      <c r="A21" s="33" t="s">
        <v>26</v>
      </c>
      <c r="B21" s="36"/>
      <c r="C21" s="36"/>
      <c r="D21" s="36"/>
      <c r="E21" s="35">
        <f>E20+E17+E19</f>
        <v>37060.263840793385</v>
      </c>
      <c r="F21" s="35">
        <f t="shared" ref="F21:N21" si="13">F20+F17+F19</f>
        <v>11221.847890992238</v>
      </c>
      <c r="G21" s="35">
        <f t="shared" si="13"/>
        <v>837.56196280193035</v>
      </c>
      <c r="H21" s="35">
        <f t="shared" si="13"/>
        <v>1000.6271237014214</v>
      </c>
      <c r="I21" s="35">
        <f t="shared" si="13"/>
        <v>17603.625324376855</v>
      </c>
      <c r="J21" s="35">
        <f t="shared" si="13"/>
        <v>67723.926142665834</v>
      </c>
      <c r="K21" s="35">
        <f t="shared" si="13"/>
        <v>203.17177842799748</v>
      </c>
      <c r="L21" s="35">
        <f t="shared" si="13"/>
        <v>67927.097921093824</v>
      </c>
      <c r="M21" s="35">
        <f t="shared" si="13"/>
        <v>13585.419584218766</v>
      </c>
      <c r="N21" s="35">
        <f t="shared" si="13"/>
        <v>81512.5175053126</v>
      </c>
      <c r="O21" s="35">
        <f>O20+O17+O19</f>
        <v>5.0220392081129273</v>
      </c>
      <c r="P21" s="27">
        <f>P17+P19</f>
        <v>5.6115977499999996</v>
      </c>
    </row>
    <row r="22" spans="1:16" ht="14.25" x14ac:dyDescent="0.2">
      <c r="A22" s="39"/>
      <c r="B22" s="40"/>
      <c r="C22" s="40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</row>
    <row r="23" spans="1:16" ht="15" hidden="1" customHeight="1" x14ac:dyDescent="0.3">
      <c r="A23" s="39"/>
      <c r="B23" s="40"/>
      <c r="C23" s="40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</row>
    <row r="24" spans="1:16" ht="15" hidden="1" customHeight="1" x14ac:dyDescent="0.3">
      <c r="A24" s="39"/>
      <c r="B24" s="40"/>
      <c r="C24" s="40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</row>
    <row r="25" spans="1:16" ht="15" hidden="1" customHeight="1" x14ac:dyDescent="0.3">
      <c r="A25" s="39"/>
      <c r="B25" s="40"/>
      <c r="C25" s="40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ht="15" hidden="1" customHeight="1" x14ac:dyDescent="0.3">
      <c r="A26" s="39"/>
      <c r="B26" s="40"/>
      <c r="C26" s="40"/>
      <c r="D26" s="40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</row>
    <row r="27" spans="1:16" ht="12.75" hidden="1" customHeight="1" x14ac:dyDescent="0.25">
      <c r="A27" s="157" t="s">
        <v>2</v>
      </c>
      <c r="B27" s="185" t="s">
        <v>3</v>
      </c>
      <c r="C27" s="185" t="s">
        <v>4</v>
      </c>
      <c r="D27" s="186" t="s">
        <v>5</v>
      </c>
      <c r="E27" s="161" t="s">
        <v>31</v>
      </c>
      <c r="F27" s="141" t="s">
        <v>7</v>
      </c>
      <c r="G27" s="158" t="s">
        <v>8</v>
      </c>
      <c r="H27" s="158" t="s">
        <v>9</v>
      </c>
      <c r="I27" s="158" t="s">
        <v>32</v>
      </c>
      <c r="J27" s="183" t="s">
        <v>11</v>
      </c>
      <c r="K27" s="158" t="s">
        <v>12</v>
      </c>
      <c r="L27" s="184" t="s">
        <v>90</v>
      </c>
      <c r="M27" s="158" t="s">
        <v>14</v>
      </c>
      <c r="N27" s="178" t="s">
        <v>15</v>
      </c>
      <c r="O27" s="144" t="s">
        <v>16</v>
      </c>
      <c r="P27" s="144" t="s">
        <v>16</v>
      </c>
    </row>
    <row r="28" spans="1:16" ht="59.25" hidden="1" customHeight="1" x14ac:dyDescent="0.25">
      <c r="A28" s="157"/>
      <c r="B28" s="185"/>
      <c r="C28" s="185"/>
      <c r="D28" s="186"/>
      <c r="E28" s="162"/>
      <c r="F28" s="142"/>
      <c r="G28" s="182"/>
      <c r="H28" s="159"/>
      <c r="I28" s="159"/>
      <c r="J28" s="183"/>
      <c r="K28" s="159"/>
      <c r="L28" s="184"/>
      <c r="M28" s="159"/>
      <c r="N28" s="178"/>
      <c r="O28" s="144"/>
      <c r="P28" s="144"/>
    </row>
    <row r="29" spans="1:16" ht="15" hidden="1" customHeight="1" x14ac:dyDescent="0.25">
      <c r="A29" s="157"/>
      <c r="B29" s="185"/>
      <c r="C29" s="185"/>
      <c r="D29" s="186"/>
      <c r="E29" s="43">
        <v>15724</v>
      </c>
      <c r="F29" s="44">
        <v>0.30280000000000001</v>
      </c>
      <c r="G29" s="45">
        <v>2.2599999999999999E-2</v>
      </c>
      <c r="H29" s="22">
        <v>2.7E-2</v>
      </c>
      <c r="I29" s="22">
        <v>0.47499999999999998</v>
      </c>
      <c r="J29" s="183"/>
      <c r="K29" s="22">
        <v>3.0000000000000001E-3</v>
      </c>
      <c r="L29" s="184"/>
      <c r="M29" s="23">
        <v>0.2</v>
      </c>
      <c r="N29" s="178"/>
      <c r="O29" s="144"/>
      <c r="P29" s="144"/>
    </row>
    <row r="30" spans="1:16" ht="15" hidden="1" customHeight="1" x14ac:dyDescent="0.3">
      <c r="A30" s="157"/>
      <c r="B30" s="46">
        <v>1</v>
      </c>
      <c r="C30" s="46">
        <v>2</v>
      </c>
      <c r="D30" s="46">
        <v>3</v>
      </c>
      <c r="E30" s="46">
        <v>4</v>
      </c>
      <c r="F30" s="46">
        <v>5</v>
      </c>
      <c r="G30" s="46">
        <v>6</v>
      </c>
      <c r="H30" s="46">
        <v>7</v>
      </c>
      <c r="I30" s="46">
        <v>8</v>
      </c>
      <c r="J30" s="46">
        <v>9</v>
      </c>
      <c r="K30" s="47">
        <v>10</v>
      </c>
      <c r="L30" s="46">
        <v>11</v>
      </c>
      <c r="M30" s="47">
        <v>12</v>
      </c>
      <c r="N30" s="46">
        <v>13</v>
      </c>
      <c r="O30" s="46">
        <v>14</v>
      </c>
      <c r="P30" s="46">
        <v>14</v>
      </c>
    </row>
    <row r="31" spans="1:16" ht="15" x14ac:dyDescent="0.25">
      <c r="A31" s="26" t="s">
        <v>114</v>
      </c>
      <c r="B31" s="29">
        <f>'[5]5 категоря'!M15</f>
        <v>33</v>
      </c>
      <c r="C31" s="29">
        <v>2504</v>
      </c>
      <c r="D31" s="31">
        <f>B31/C31*0.2</f>
        <v>2.635782747603834E-3</v>
      </c>
      <c r="E31" s="30">
        <f>D31*$E$29*12</f>
        <v>497.34057507987222</v>
      </c>
      <c r="F31" s="31">
        <f>E31*$F$29</f>
        <v>150.59472613418532</v>
      </c>
      <c r="G31" s="31">
        <f>E31*$G$29</f>
        <v>11.239896996805111</v>
      </c>
      <c r="H31" s="31">
        <f>E31*$H$29</f>
        <v>13.42819552715655</v>
      </c>
      <c r="I31" s="31">
        <f>E31*$I$29</f>
        <v>236.2367731629393</v>
      </c>
      <c r="J31" s="31">
        <f>SUM(E31:I31)</f>
        <v>908.84016690095837</v>
      </c>
      <c r="K31" s="31">
        <f>J31*$K$29</f>
        <v>2.726520500702875</v>
      </c>
      <c r="L31" s="31">
        <f>SUM(J31:K31)</f>
        <v>911.56668740166128</v>
      </c>
      <c r="M31" s="31">
        <f>L31*$M$29</f>
        <v>182.31333748033228</v>
      </c>
      <c r="N31" s="31">
        <f>SUM(L31:M31)</f>
        <v>1093.8800248819934</v>
      </c>
      <c r="O31" s="31">
        <f>N31/$E$4/12</f>
        <v>6.7394659643175356E-2</v>
      </c>
      <c r="P31" s="27">
        <f>((O31*1.04)*1.055)*1.045</f>
        <v>7.7272964485714135E-2</v>
      </c>
    </row>
    <row r="32" spans="1:16" ht="15" x14ac:dyDescent="0.25">
      <c r="A32" s="26" t="s">
        <v>115</v>
      </c>
      <c r="B32" s="48">
        <f>'[5]5 категоря'!L15</f>
        <v>11</v>
      </c>
      <c r="C32" s="29">
        <v>2504</v>
      </c>
      <c r="D32" s="31">
        <f>B32/C32*0.59*4</f>
        <v>1.0367412140575079E-2</v>
      </c>
      <c r="E32" s="30">
        <f>D32*$E$29*12</f>
        <v>1956.2062619808303</v>
      </c>
      <c r="F32" s="31">
        <f>E32*$F$29</f>
        <v>592.33925612779547</v>
      </c>
      <c r="G32" s="31">
        <f>E32*$G$29</f>
        <v>44.210261520766764</v>
      </c>
      <c r="H32" s="31">
        <f>E32*$H$29</f>
        <v>52.817569073482417</v>
      </c>
      <c r="I32" s="31">
        <f>E32*$I$29</f>
        <v>929.19797444089431</v>
      </c>
      <c r="J32" s="31">
        <f>SUM(E32:I32)</f>
        <v>3574.7713231437692</v>
      </c>
      <c r="K32" s="31">
        <f>J32*$K$29</f>
        <v>10.724313969431307</v>
      </c>
      <c r="L32" s="31">
        <f>SUM(J32:K32)</f>
        <v>3585.4956371132007</v>
      </c>
      <c r="M32" s="31">
        <f>L32*$M$29</f>
        <v>717.09912742264021</v>
      </c>
      <c r="N32" s="31">
        <f>SUM(L32:M32)</f>
        <v>4302.594764535841</v>
      </c>
      <c r="O32" s="31">
        <f>N32/$E$4/12</f>
        <v>0.26508566126315641</v>
      </c>
      <c r="P32" s="31">
        <f>(0.25*1.055)*1.045</f>
        <v>0.27561874999999997</v>
      </c>
    </row>
    <row r="33" spans="1:16" ht="15" x14ac:dyDescent="0.2">
      <c r="A33" s="33" t="s">
        <v>35</v>
      </c>
      <c r="B33" s="33"/>
      <c r="C33" s="33"/>
      <c r="D33" s="49">
        <f>SUM(D31:D32)</f>
        <v>1.3003194888178913E-2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49">
        <f>SUM(O31:O32)</f>
        <v>0.33248032090633178</v>
      </c>
      <c r="P33" s="27">
        <f>P32+P31</f>
        <v>0.3528917144857141</v>
      </c>
    </row>
    <row r="34" spans="1:16" ht="15" x14ac:dyDescent="0.25">
      <c r="A34" s="179" t="s">
        <v>36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1"/>
      <c r="P34" s="54"/>
    </row>
    <row r="35" spans="1:16" ht="12.75" hidden="1" customHeight="1" x14ac:dyDescent="0.25">
      <c r="A35" s="157" t="s">
        <v>2</v>
      </c>
      <c r="B35" s="158" t="s">
        <v>3</v>
      </c>
      <c r="C35" s="158" t="s">
        <v>4</v>
      </c>
      <c r="D35" s="158" t="s">
        <v>5</v>
      </c>
      <c r="E35" s="161" t="s">
        <v>31</v>
      </c>
      <c r="F35" s="163" t="s">
        <v>7</v>
      </c>
      <c r="G35" s="165" t="s">
        <v>8</v>
      </c>
      <c r="H35" s="165" t="s">
        <v>9</v>
      </c>
      <c r="I35" s="165" t="s">
        <v>32</v>
      </c>
      <c r="J35" s="158" t="s">
        <v>11</v>
      </c>
      <c r="K35" s="158" t="s">
        <v>12</v>
      </c>
      <c r="L35" s="167" t="s">
        <v>87</v>
      </c>
      <c r="M35" s="158" t="s">
        <v>14</v>
      </c>
      <c r="N35" s="167" t="s">
        <v>15</v>
      </c>
      <c r="O35" s="141" t="s">
        <v>16</v>
      </c>
      <c r="P35" s="141" t="s">
        <v>16</v>
      </c>
    </row>
    <row r="36" spans="1:16" ht="63" hidden="1" customHeight="1" x14ac:dyDescent="0.25">
      <c r="A36" s="157"/>
      <c r="B36" s="159"/>
      <c r="C36" s="159"/>
      <c r="D36" s="159"/>
      <c r="E36" s="162"/>
      <c r="F36" s="164"/>
      <c r="G36" s="166"/>
      <c r="H36" s="177"/>
      <c r="I36" s="177"/>
      <c r="J36" s="159"/>
      <c r="K36" s="159"/>
      <c r="L36" s="168"/>
      <c r="M36" s="159"/>
      <c r="N36" s="168"/>
      <c r="O36" s="142"/>
      <c r="P36" s="142"/>
    </row>
    <row r="37" spans="1:16" ht="15" hidden="1" customHeight="1" x14ac:dyDescent="0.25">
      <c r="A37" s="157"/>
      <c r="B37" s="160"/>
      <c r="C37" s="160"/>
      <c r="D37" s="160"/>
      <c r="E37" s="18">
        <v>15458</v>
      </c>
      <c r="F37" s="19">
        <v>0.30280000000000001</v>
      </c>
      <c r="G37" s="50">
        <v>0.19400000000000001</v>
      </c>
      <c r="H37" s="104">
        <v>0.16</v>
      </c>
      <c r="I37" s="104">
        <v>0.47499999999999998</v>
      </c>
      <c r="J37" s="160"/>
      <c r="K37" s="22">
        <v>3.0000000000000001E-3</v>
      </c>
      <c r="L37" s="169"/>
      <c r="M37" s="23">
        <v>0.2</v>
      </c>
      <c r="N37" s="169"/>
      <c r="O37" s="143"/>
      <c r="P37" s="143"/>
    </row>
    <row r="38" spans="1:16" ht="15" hidden="1" customHeight="1" x14ac:dyDescent="0.3">
      <c r="A38" s="157"/>
      <c r="B38" s="24">
        <v>1</v>
      </c>
      <c r="C38" s="24">
        <v>2</v>
      </c>
      <c r="D38" s="24">
        <v>3</v>
      </c>
      <c r="E38" s="24">
        <v>4</v>
      </c>
      <c r="F38" s="24">
        <v>5</v>
      </c>
      <c r="G38" s="24">
        <v>6</v>
      </c>
      <c r="H38" s="24">
        <v>7</v>
      </c>
      <c r="I38" s="24">
        <v>8</v>
      </c>
      <c r="J38" s="24">
        <v>9</v>
      </c>
      <c r="K38" s="24">
        <v>10</v>
      </c>
      <c r="L38" s="24">
        <v>11</v>
      </c>
      <c r="M38" s="24">
        <v>12</v>
      </c>
      <c r="N38" s="24">
        <v>13</v>
      </c>
      <c r="O38" s="24">
        <v>14</v>
      </c>
      <c r="P38" s="24">
        <v>14</v>
      </c>
    </row>
    <row r="39" spans="1:16" ht="12.75" hidden="1" customHeight="1" x14ac:dyDescent="0.3">
      <c r="A39" s="51" t="s">
        <v>91</v>
      </c>
      <c r="B39" s="52" t="s">
        <v>18</v>
      </c>
      <c r="C39" s="52" t="s">
        <v>18</v>
      </c>
      <c r="D39" s="53"/>
      <c r="E39" s="52">
        <f>D39*E37*12</f>
        <v>0</v>
      </c>
      <c r="F39" s="52">
        <f>E39*$F$37</f>
        <v>0</v>
      </c>
      <c r="G39" s="52">
        <f>E39*$G$37</f>
        <v>0</v>
      </c>
      <c r="H39" s="52">
        <f>E39*$H$37</f>
        <v>0</v>
      </c>
      <c r="I39" s="52">
        <f>E39*$I$37</f>
        <v>0</v>
      </c>
      <c r="J39" s="52">
        <f>SUM(E39:I39)</f>
        <v>0</v>
      </c>
      <c r="K39" s="52">
        <f>J39*$K$37</f>
        <v>0</v>
      </c>
      <c r="L39" s="52">
        <f>SUM(J39:K39)</f>
        <v>0</v>
      </c>
      <c r="M39" s="52">
        <f>L39*$M$37</f>
        <v>0</v>
      </c>
      <c r="N39" s="52">
        <f>SUM(L39:M39)</f>
        <v>0</v>
      </c>
      <c r="O39" s="52">
        <f>N39/$E$4/12</f>
        <v>0</v>
      </c>
      <c r="P39" s="52">
        <f>O39/$E$4/12</f>
        <v>0</v>
      </c>
    </row>
    <row r="40" spans="1:16" ht="15" x14ac:dyDescent="0.25">
      <c r="A40" s="179" t="s">
        <v>39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34"/>
    </row>
    <row r="41" spans="1:16" ht="15" x14ac:dyDescent="0.25">
      <c r="A41" s="190" t="s">
        <v>40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71"/>
    </row>
    <row r="42" spans="1:16" ht="15" x14ac:dyDescent="0.25">
      <c r="A42" s="55" t="s">
        <v>41</v>
      </c>
      <c r="B42" s="187" t="s">
        <v>42</v>
      </c>
      <c r="C42" s="188"/>
      <c r="D42" s="126">
        <v>4.1000000000000003E-3</v>
      </c>
      <c r="E42" s="52">
        <f>D42*$E$37*12</f>
        <v>760.53360000000009</v>
      </c>
      <c r="F42" s="52">
        <f>E42*$F$37</f>
        <v>230.28957408000005</v>
      </c>
      <c r="G42" s="52">
        <f>E42*$G$37</f>
        <v>147.54351840000001</v>
      </c>
      <c r="H42" s="52">
        <f>E42*$H$37</f>
        <v>121.68537600000002</v>
      </c>
      <c r="I42" s="52">
        <f>E42*$I$37</f>
        <v>361.25346000000002</v>
      </c>
      <c r="J42" s="52">
        <f>SUM(E42:I42)</f>
        <v>1621.3055284800002</v>
      </c>
      <c r="K42" s="52">
        <f>J42*$K$37</f>
        <v>4.8639165854400011</v>
      </c>
      <c r="L42" s="52">
        <f>SUM(J42:K42)</f>
        <v>1626.1694450654402</v>
      </c>
      <c r="M42" s="52">
        <f>L42*$M$37</f>
        <v>325.23388901308806</v>
      </c>
      <c r="N42" s="52">
        <f>SUM(L42:M42)</f>
        <v>1951.4033340785281</v>
      </c>
      <c r="O42" s="52">
        <f>N42/$E$4/12</f>
        <v>0.12022722833883691</v>
      </c>
      <c r="P42" s="27">
        <f>((O42*1.04)*1.055)*1.045</f>
        <v>0.13784941410537357</v>
      </c>
    </row>
    <row r="43" spans="1:16" ht="15" x14ac:dyDescent="0.25">
      <c r="A43" s="55" t="s">
        <v>43</v>
      </c>
      <c r="B43" s="187" t="s">
        <v>42</v>
      </c>
      <c r="C43" s="188"/>
      <c r="D43" s="126">
        <v>2.3999999999999998E-3</v>
      </c>
      <c r="E43" s="52">
        <f>D43*$E$37*12</f>
        <v>445.19039999999995</v>
      </c>
      <c r="F43" s="52">
        <f t="shared" ref="F43:F44" si="14">E43*$F$37</f>
        <v>134.80365311999998</v>
      </c>
      <c r="G43" s="52">
        <f t="shared" ref="G43:G44" si="15">E43*$G$37</f>
        <v>86.3669376</v>
      </c>
      <c r="H43" s="52">
        <f t="shared" ref="H43:H44" si="16">E43*$H$37</f>
        <v>71.230463999999998</v>
      </c>
      <c r="I43" s="52">
        <f t="shared" ref="I43:I44" si="17">E43*$I$37</f>
        <v>211.46543999999997</v>
      </c>
      <c r="J43" s="52">
        <f t="shared" ref="J43:J44" si="18">SUM(E43:I43)</f>
        <v>949.05689471999995</v>
      </c>
      <c r="K43" s="52">
        <f t="shared" ref="K43:K44" si="19">J43*$K$37</f>
        <v>2.84717068416</v>
      </c>
      <c r="L43" s="52">
        <f t="shared" ref="L43:L44" si="20">SUM(J43:K43)</f>
        <v>951.90406540415995</v>
      </c>
      <c r="M43" s="52">
        <f t="shared" ref="M43:M44" si="21">L43*$M$37</f>
        <v>190.38081308083201</v>
      </c>
      <c r="N43" s="52">
        <f t="shared" ref="N43:N44" si="22">SUM(L43:M43)</f>
        <v>1142.2848784849921</v>
      </c>
      <c r="O43" s="52">
        <f t="shared" ref="O43" si="23">N43/$E$4</f>
        <v>0.84452296979475683</v>
      </c>
      <c r="P43" s="27">
        <f>((O43*1.04)*1.055)*1.045</f>
        <v>0.96830807956945353</v>
      </c>
    </row>
    <row r="44" spans="1:16" ht="15" x14ac:dyDescent="0.25">
      <c r="A44" s="58" t="s">
        <v>44</v>
      </c>
      <c r="B44" s="187" t="s">
        <v>30</v>
      </c>
      <c r="C44" s="188"/>
      <c r="D44" s="126">
        <v>2.9999999999999997E-4</v>
      </c>
      <c r="E44" s="52">
        <f>D44*$E$37*12</f>
        <v>55.648799999999994</v>
      </c>
      <c r="F44" s="52">
        <f t="shared" si="14"/>
        <v>16.850456639999997</v>
      </c>
      <c r="G44" s="52">
        <f t="shared" si="15"/>
        <v>10.7958672</v>
      </c>
      <c r="H44" s="52">
        <f t="shared" si="16"/>
        <v>8.9038079999999997</v>
      </c>
      <c r="I44" s="52">
        <f t="shared" si="17"/>
        <v>26.433179999999997</v>
      </c>
      <c r="J44" s="52">
        <f t="shared" si="18"/>
        <v>118.63211183999999</v>
      </c>
      <c r="K44" s="52">
        <f t="shared" si="19"/>
        <v>0.35589633552</v>
      </c>
      <c r="L44" s="52">
        <f t="shared" si="20"/>
        <v>118.98800817551999</v>
      </c>
      <c r="M44" s="52">
        <f t="shared" si="21"/>
        <v>23.797601635104002</v>
      </c>
      <c r="N44" s="52">
        <f t="shared" si="22"/>
        <v>142.78560981062401</v>
      </c>
      <c r="O44" s="52">
        <f>N44/$E$4/12</f>
        <v>8.7971142686953836E-3</v>
      </c>
      <c r="P44" s="27">
        <f>((O44*1.04)*1.055)*1.045</f>
        <v>1.008654249551514E-2</v>
      </c>
    </row>
    <row r="45" spans="1:16" ht="15" x14ac:dyDescent="0.25">
      <c r="A45" s="189" t="s">
        <v>45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52"/>
    </row>
    <row r="46" spans="1:16" ht="30" x14ac:dyDescent="0.25">
      <c r="A46" s="58" t="s">
        <v>46</v>
      </c>
      <c r="B46" s="187" t="s">
        <v>30</v>
      </c>
      <c r="C46" s="188"/>
      <c r="D46" s="59">
        <v>0</v>
      </c>
      <c r="E46" s="52">
        <f>D46*$E$37*12</f>
        <v>0</v>
      </c>
      <c r="F46" s="52">
        <f>E46*$F$37</f>
        <v>0</v>
      </c>
      <c r="G46" s="52">
        <f>E46*$G$37</f>
        <v>0</v>
      </c>
      <c r="H46" s="52">
        <f>E46*$H$37</f>
        <v>0</v>
      </c>
      <c r="I46" s="52">
        <f>E46*$I$37</f>
        <v>0</v>
      </c>
      <c r="J46" s="52">
        <f>SUM(E46:I46)</f>
        <v>0</v>
      </c>
      <c r="K46" s="52">
        <f>J46*$K$37</f>
        <v>0</v>
      </c>
      <c r="L46" s="52">
        <f>SUM(J46:K46)</f>
        <v>0</v>
      </c>
      <c r="M46" s="52">
        <f>L46*$M$37</f>
        <v>0</v>
      </c>
      <c r="N46" s="52">
        <f>SUM(L46:M46)</f>
        <v>0</v>
      </c>
      <c r="O46" s="52">
        <f>N46/$E$4/12</f>
        <v>0</v>
      </c>
      <c r="P46" s="27">
        <f t="shared" ref="P46" si="24">(O46*1.04)*1.055</f>
        <v>0</v>
      </c>
    </row>
    <row r="47" spans="1:16" ht="15" customHeight="1" x14ac:dyDescent="0.25">
      <c r="A47" s="58" t="s">
        <v>47</v>
      </c>
      <c r="B47" s="187" t="s">
        <v>30</v>
      </c>
      <c r="C47" s="188"/>
      <c r="D47" s="59">
        <v>2E-3</v>
      </c>
      <c r="E47" s="52">
        <f t="shared" ref="E47:E50" si="25">D47*$E$37*12</f>
        <v>370.99200000000002</v>
      </c>
      <c r="F47" s="52">
        <f t="shared" ref="F47:F50" si="26">E47*$F$37</f>
        <v>112.33637760000001</v>
      </c>
      <c r="G47" s="52">
        <f t="shared" ref="G47:G50" si="27">E47*$G$37</f>
        <v>71.972448</v>
      </c>
      <c r="H47" s="52">
        <f t="shared" ref="H47:H50" si="28">E47*$H$37</f>
        <v>59.358720000000005</v>
      </c>
      <c r="I47" s="52">
        <f t="shared" ref="I47:I50" si="29">E47*$I$37</f>
        <v>176.22120000000001</v>
      </c>
      <c r="J47" s="52">
        <f t="shared" ref="J47:J50" si="30">SUM(E47:I47)</f>
        <v>790.88074559999995</v>
      </c>
      <c r="K47" s="52">
        <f t="shared" ref="K47:K50" si="31">J47*$K$37</f>
        <v>2.3726422368</v>
      </c>
      <c r="L47" s="52">
        <f t="shared" ref="L47:L50" si="32">SUM(J47:K47)</f>
        <v>793.2533878367999</v>
      </c>
      <c r="M47" s="52">
        <f t="shared" ref="M47:M50" si="33">L47*$M$37</f>
        <v>158.65067756735999</v>
      </c>
      <c r="N47" s="52">
        <f t="shared" ref="N47:N50" si="34">SUM(L47:M47)</f>
        <v>951.90406540415984</v>
      </c>
      <c r="O47" s="52">
        <f>N47/$E$4/12</f>
        <v>5.8647428457969213E-2</v>
      </c>
      <c r="P47" s="27">
        <f>((O47*1.04)*1.055)*1.045</f>
        <v>6.7243616636767589E-2</v>
      </c>
    </row>
    <row r="48" spans="1:16" ht="15" x14ac:dyDescent="0.25">
      <c r="A48" s="58" t="s">
        <v>48</v>
      </c>
      <c r="B48" s="187" t="s">
        <v>30</v>
      </c>
      <c r="C48" s="188"/>
      <c r="D48" s="59">
        <v>3.0000000000000001E-3</v>
      </c>
      <c r="E48" s="52">
        <f t="shared" si="25"/>
        <v>556.48800000000006</v>
      </c>
      <c r="F48" s="52">
        <f t="shared" si="26"/>
        <v>168.50456640000002</v>
      </c>
      <c r="G48" s="52">
        <f t="shared" si="27"/>
        <v>107.95867200000001</v>
      </c>
      <c r="H48" s="52">
        <f t="shared" si="28"/>
        <v>89.038080000000008</v>
      </c>
      <c r="I48" s="52">
        <f t="shared" si="29"/>
        <v>264.33179999999999</v>
      </c>
      <c r="J48" s="52">
        <f t="shared" si="30"/>
        <v>1186.3211184000002</v>
      </c>
      <c r="K48" s="52">
        <f t="shared" si="31"/>
        <v>3.5589633552000004</v>
      </c>
      <c r="L48" s="52">
        <f t="shared" si="32"/>
        <v>1189.8800817552001</v>
      </c>
      <c r="M48" s="52">
        <f t="shared" si="33"/>
        <v>237.97601635104002</v>
      </c>
      <c r="N48" s="52">
        <f t="shared" si="34"/>
        <v>1427.8560981062401</v>
      </c>
      <c r="O48" s="52">
        <f>N48/$E$4/12</f>
        <v>8.7971142686953829E-2</v>
      </c>
      <c r="P48" s="27">
        <f>((O48*1.04)*1.055)*1.045</f>
        <v>0.10086542495515138</v>
      </c>
    </row>
    <row r="49" spans="1:16" ht="15" x14ac:dyDescent="0.25">
      <c r="A49" s="58" t="s">
        <v>49</v>
      </c>
      <c r="B49" s="187" t="s">
        <v>30</v>
      </c>
      <c r="C49" s="188"/>
      <c r="D49" s="59">
        <v>1E-3</v>
      </c>
      <c r="E49" s="52">
        <f t="shared" si="25"/>
        <v>185.49600000000001</v>
      </c>
      <c r="F49" s="52">
        <f t="shared" si="26"/>
        <v>56.168188800000003</v>
      </c>
      <c r="G49" s="52">
        <f t="shared" si="27"/>
        <v>35.986224</v>
      </c>
      <c r="H49" s="52">
        <f t="shared" si="28"/>
        <v>29.679360000000003</v>
      </c>
      <c r="I49" s="52">
        <f t="shared" si="29"/>
        <v>88.110600000000005</v>
      </c>
      <c r="J49" s="52">
        <f t="shared" si="30"/>
        <v>395.44037279999998</v>
      </c>
      <c r="K49" s="52">
        <f t="shared" si="31"/>
        <v>1.1863211184</v>
      </c>
      <c r="L49" s="52">
        <f t="shared" si="32"/>
        <v>396.62669391839995</v>
      </c>
      <c r="M49" s="52">
        <f t="shared" si="33"/>
        <v>79.325338783679996</v>
      </c>
      <c r="N49" s="52">
        <f t="shared" si="34"/>
        <v>475.95203270207992</v>
      </c>
      <c r="O49" s="52">
        <f>N49/$E$4/12</f>
        <v>2.9323714228984606E-2</v>
      </c>
      <c r="P49" s="27">
        <f>((O49*1.04)*1.055)*1.045</f>
        <v>3.3621808318383795E-2</v>
      </c>
    </row>
    <row r="50" spans="1:16" ht="15" x14ac:dyDescent="0.25">
      <c r="A50" s="58" t="s">
        <v>50</v>
      </c>
      <c r="B50" s="187" t="s">
        <v>30</v>
      </c>
      <c r="C50" s="188"/>
      <c r="D50" s="59">
        <v>5.0000000000000001E-3</v>
      </c>
      <c r="E50" s="52">
        <f t="shared" si="25"/>
        <v>927.48</v>
      </c>
      <c r="F50" s="52">
        <f t="shared" si="26"/>
        <v>280.84094400000004</v>
      </c>
      <c r="G50" s="52">
        <f t="shared" si="27"/>
        <v>179.93112000000002</v>
      </c>
      <c r="H50" s="52">
        <f t="shared" si="28"/>
        <v>148.39680000000001</v>
      </c>
      <c r="I50" s="52">
        <f t="shared" si="29"/>
        <v>440.553</v>
      </c>
      <c r="J50" s="52">
        <f t="shared" si="30"/>
        <v>1977.2018640000001</v>
      </c>
      <c r="K50" s="52">
        <f t="shared" si="31"/>
        <v>5.9316055920000004</v>
      </c>
      <c r="L50" s="52">
        <f t="shared" si="32"/>
        <v>1983.1334695920002</v>
      </c>
      <c r="M50" s="52">
        <f t="shared" si="33"/>
        <v>396.62669391840006</v>
      </c>
      <c r="N50" s="52">
        <f t="shared" si="34"/>
        <v>2379.7601635104002</v>
      </c>
      <c r="O50" s="52">
        <f>N50/$E$4/12</f>
        <v>0.14661857114492305</v>
      </c>
      <c r="P50" s="27">
        <f>((O50*1.04)*1.055)*1.045</f>
        <v>0.168109041591919</v>
      </c>
    </row>
    <row r="51" spans="1:16" ht="15" x14ac:dyDescent="0.25">
      <c r="A51" s="179" t="s">
        <v>89</v>
      </c>
      <c r="B51" s="180"/>
      <c r="C51" s="181"/>
      <c r="D51" s="33"/>
      <c r="E51" s="33"/>
      <c r="F51" s="33"/>
      <c r="G51" s="33"/>
      <c r="H51" s="33"/>
      <c r="I51" s="33"/>
      <c r="J51" s="33">
        <f>0.37*E4*12</f>
        <v>6005.4551999999994</v>
      </c>
      <c r="K51" s="33">
        <f>J51*0.3%</f>
        <v>18.0163656</v>
      </c>
      <c r="L51" s="33">
        <f>SUM(J51:K51)</f>
        <v>6023.4715655999998</v>
      </c>
      <c r="M51" s="33">
        <f>L51*0.2</f>
        <v>1204.6943131200001</v>
      </c>
      <c r="N51" s="33">
        <f>SUM(L51:M51)</f>
        <v>7228.1658787199995</v>
      </c>
      <c r="O51" s="31">
        <f>N51/E4/12</f>
        <v>0.44533200000000001</v>
      </c>
      <c r="P51" s="27">
        <f>((O51*1.04)*1.055)*1.045</f>
        <v>0.51060609256799994</v>
      </c>
    </row>
    <row r="52" spans="1:16" ht="15" x14ac:dyDescent="0.25">
      <c r="A52" s="203"/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52"/>
    </row>
    <row r="53" spans="1:16" ht="15" x14ac:dyDescent="0.25">
      <c r="A53" s="179" t="s">
        <v>72</v>
      </c>
      <c r="B53" s="180"/>
      <c r="C53" s="181"/>
      <c r="D53" s="33"/>
      <c r="E53" s="33"/>
      <c r="F53" s="33"/>
      <c r="G53" s="33"/>
      <c r="H53" s="33"/>
      <c r="I53" s="33"/>
      <c r="J53" s="33">
        <f>1.49*E4*12</f>
        <v>24184.130399999998</v>
      </c>
      <c r="K53" s="33">
        <f>J53*0.3%</f>
        <v>72.552391200000002</v>
      </c>
      <c r="L53" s="33">
        <f>SUM(J53:K53)</f>
        <v>24256.682791199997</v>
      </c>
      <c r="M53" s="33">
        <f>L53*0.2</f>
        <v>4851.3365582399992</v>
      </c>
      <c r="N53" s="33">
        <f>SUM(L53:M53)</f>
        <v>29108.019349439997</v>
      </c>
      <c r="O53" s="31">
        <f>N53/E4/12</f>
        <v>1.7933639999999997</v>
      </c>
      <c r="P53" s="27">
        <f>((O53*1.04)*1.055)*1.045</f>
        <v>2.0562245349359993</v>
      </c>
    </row>
    <row r="54" spans="1:16" ht="15" x14ac:dyDescent="0.25">
      <c r="A54" s="241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31"/>
    </row>
    <row r="55" spans="1:16" ht="15" hidden="1" x14ac:dyDescent="0.25">
      <c r="A55" s="220" t="s">
        <v>73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31"/>
    </row>
    <row r="56" spans="1:16" ht="15" hidden="1" x14ac:dyDescent="0.25">
      <c r="A56" s="66" t="s">
        <v>75</v>
      </c>
      <c r="B56" s="66"/>
      <c r="C56" s="66"/>
      <c r="D56" s="66"/>
      <c r="E56" s="66"/>
      <c r="F56" s="66"/>
      <c r="G56" s="66"/>
      <c r="H56" s="66"/>
      <c r="I56" s="66"/>
      <c r="J56" s="117"/>
      <c r="K56" s="66"/>
      <c r="L56" s="66">
        <f>0.275*E4*12</f>
        <v>4463.5140000000001</v>
      </c>
      <c r="M56" s="66">
        <f>L56*0.2</f>
        <v>892.70280000000002</v>
      </c>
      <c r="N56" s="66">
        <f>L56+M56</f>
        <v>5356.2168000000001</v>
      </c>
      <c r="O56" s="31">
        <f>N56/E4/12</f>
        <v>0.33</v>
      </c>
      <c r="P56" s="31">
        <v>0</v>
      </c>
    </row>
    <row r="57" spans="1:16" ht="14.25" hidden="1" x14ac:dyDescent="0.2">
      <c r="A57" s="201" t="s">
        <v>22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32">
        <f>SUM(O56:O56)</f>
        <v>0.33</v>
      </c>
      <c r="P57" s="32">
        <v>0</v>
      </c>
    </row>
    <row r="58" spans="1:16" ht="15" hidden="1" x14ac:dyDescent="0.25">
      <c r="A58" s="241"/>
      <c r="B58" s="241"/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54"/>
    </row>
    <row r="59" spans="1:16" ht="33" customHeight="1" x14ac:dyDescent="0.2">
      <c r="A59" s="201" t="s">
        <v>126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32">
        <f>O57+O53+O51+O50+O49+O48+O47+O46+O44+O43+O42+O39+O33+O21</f>
        <v>9.2193236979403785</v>
      </c>
      <c r="P59" s="32">
        <f>P57+P53+P51+P50+P49+P48+P47+P46+P44+P43+P42+P39+P33+P21</f>
        <v>10.017404019662276</v>
      </c>
    </row>
    <row r="60" spans="1:16" ht="15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</row>
    <row r="61" spans="1:16" ht="14.25" x14ac:dyDescent="0.2">
      <c r="A61" s="240" t="s">
        <v>95</v>
      </c>
      <c r="B61" s="240"/>
      <c r="C61" s="240"/>
      <c r="D61" s="240"/>
      <c r="E61" s="240"/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40"/>
    </row>
    <row r="62" spans="1:16" ht="15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</row>
    <row r="63" spans="1:16" x14ac:dyDescent="0.2">
      <c r="A63" s="202"/>
      <c r="B63" s="202"/>
      <c r="C63" s="202"/>
      <c r="D63" s="202"/>
      <c r="E63" s="7"/>
      <c r="F63" s="7"/>
      <c r="G63" s="7"/>
      <c r="H63" s="7"/>
      <c r="I63" s="7"/>
      <c r="J63" s="7"/>
      <c r="K63" s="7"/>
      <c r="L63" s="202" t="s">
        <v>78</v>
      </c>
      <c r="M63" s="202"/>
      <c r="N63" s="202"/>
      <c r="O63" s="202"/>
      <c r="P63" s="1"/>
    </row>
    <row r="100" spans="4:4" x14ac:dyDescent="0.2">
      <c r="D100" s="2">
        <f>D42+D43+D44+D46+D47+D48+D49+D50</f>
        <v>1.7800000000000003E-2</v>
      </c>
    </row>
  </sheetData>
  <mergeCells count="76">
    <mergeCell ref="A5:P5"/>
    <mergeCell ref="A2:P2"/>
    <mergeCell ref="A3:P3"/>
    <mergeCell ref="A6:A9"/>
    <mergeCell ref="B6:B8"/>
    <mergeCell ref="C6:C8"/>
    <mergeCell ref="D6:D8"/>
    <mergeCell ref="E6:E7"/>
    <mergeCell ref="F6:F7"/>
    <mergeCell ref="G6:G7"/>
    <mergeCell ref="H6:H7"/>
    <mergeCell ref="O6:O8"/>
    <mergeCell ref="P6:P8"/>
    <mergeCell ref="I6:I7"/>
    <mergeCell ref="J6:J8"/>
    <mergeCell ref="K6:K7"/>
    <mergeCell ref="L6:L8"/>
    <mergeCell ref="M6:M7"/>
    <mergeCell ref="N6:N8"/>
    <mergeCell ref="M27:M28"/>
    <mergeCell ref="N27:N29"/>
    <mergeCell ref="O27:O29"/>
    <mergeCell ref="A10:O10"/>
    <mergeCell ref="A18:O18"/>
    <mergeCell ref="A27:A30"/>
    <mergeCell ref="B27:B29"/>
    <mergeCell ref="C27:C29"/>
    <mergeCell ref="D27:D29"/>
    <mergeCell ref="E27:E28"/>
    <mergeCell ref="F27:F28"/>
    <mergeCell ref="L35:L37"/>
    <mergeCell ref="M35:M36"/>
    <mergeCell ref="N35:N37"/>
    <mergeCell ref="O35:O37"/>
    <mergeCell ref="P27:P29"/>
    <mergeCell ref="A34:O34"/>
    <mergeCell ref="G27:G28"/>
    <mergeCell ref="H27:H28"/>
    <mergeCell ref="I27:I28"/>
    <mergeCell ref="J27:J29"/>
    <mergeCell ref="K27:K28"/>
    <mergeCell ref="L27:L29"/>
    <mergeCell ref="H35:H36"/>
    <mergeCell ref="I35:I36"/>
    <mergeCell ref="J35:J37"/>
    <mergeCell ref="K35:K36"/>
    <mergeCell ref="A35:A38"/>
    <mergeCell ref="B35:B37"/>
    <mergeCell ref="C35:C37"/>
    <mergeCell ref="D35:D37"/>
    <mergeCell ref="E35:E36"/>
    <mergeCell ref="P35:P37"/>
    <mergeCell ref="A52:O52"/>
    <mergeCell ref="A41:O41"/>
    <mergeCell ref="B42:C42"/>
    <mergeCell ref="B43:C43"/>
    <mergeCell ref="B44:C44"/>
    <mergeCell ref="A45:O45"/>
    <mergeCell ref="B46:C46"/>
    <mergeCell ref="B47:C47"/>
    <mergeCell ref="B48:C48"/>
    <mergeCell ref="B49:C49"/>
    <mergeCell ref="B50:C50"/>
    <mergeCell ref="A51:C51"/>
    <mergeCell ref="A40:O40"/>
    <mergeCell ref="F35:F36"/>
    <mergeCell ref="G35:G36"/>
    <mergeCell ref="A61:P61"/>
    <mergeCell ref="A63:D63"/>
    <mergeCell ref="L63:O63"/>
    <mergeCell ref="A53:C53"/>
    <mergeCell ref="A54:O54"/>
    <mergeCell ref="A55:O55"/>
    <mergeCell ref="A57:N57"/>
    <mergeCell ref="A58:O58"/>
    <mergeCell ref="A59:N59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5"/>
  <sheetViews>
    <sheetView zoomScale="150" zoomScaleNormal="150" workbookViewId="0">
      <selection activeCell="R12" sqref="R12"/>
    </sheetView>
  </sheetViews>
  <sheetFormatPr defaultColWidth="9.140625" defaultRowHeight="12.75" x14ac:dyDescent="0.2"/>
  <cols>
    <col min="1" max="1" width="71.85546875" style="2" customWidth="1"/>
    <col min="2" max="2" width="6.42578125" style="2" hidden="1" customWidth="1"/>
    <col min="3" max="3" width="7.7109375" style="2" hidden="1" customWidth="1"/>
    <col min="4" max="4" width="6.140625" style="2" hidden="1" customWidth="1"/>
    <col min="5" max="5" width="10.140625" style="2" hidden="1" customWidth="1"/>
    <col min="6" max="6" width="10.28515625" style="2" hidden="1" customWidth="1"/>
    <col min="7" max="7" width="9.140625" style="2" hidden="1" customWidth="1"/>
    <col min="8" max="8" width="8.28515625" style="2" hidden="1" customWidth="1"/>
    <col min="9" max="9" width="9.7109375" style="2" hidden="1" customWidth="1"/>
    <col min="10" max="10" width="11" style="2" hidden="1" customWidth="1"/>
    <col min="11" max="11" width="9.28515625" style="2" hidden="1" customWidth="1"/>
    <col min="12" max="12" width="10.42578125" style="2" hidden="1" customWidth="1"/>
    <col min="13" max="13" width="10.28515625" style="2" hidden="1" customWidth="1"/>
    <col min="14" max="14" width="10.7109375" style="2" hidden="1" customWidth="1"/>
    <col min="15" max="15" width="17.140625" style="2" hidden="1" customWidth="1"/>
    <col min="16" max="16" width="17.1406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customHeight="1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4.25" hidden="1" x14ac:dyDescent="0.2">
      <c r="A4" s="156" t="s">
        <v>0</v>
      </c>
      <c r="B4" s="156"/>
      <c r="C4" s="156"/>
      <c r="D4" s="156"/>
      <c r="E4" s="15">
        <f>233678.45+4772.6</f>
        <v>238451.05000000002</v>
      </c>
      <c r="F4" s="15" t="s">
        <v>1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4.1" customHeight="1" x14ac:dyDescent="0.2">
      <c r="A5" s="154" t="s">
        <v>122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6" ht="24.95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161" t="s">
        <v>6</v>
      </c>
      <c r="F6" s="163" t="s">
        <v>7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13</v>
      </c>
      <c r="M6" s="158" t="s">
        <v>14</v>
      </c>
      <c r="N6" s="167" t="s">
        <v>15</v>
      </c>
      <c r="O6" s="141" t="s">
        <v>16</v>
      </c>
      <c r="P6" s="141" t="s">
        <v>128</v>
      </c>
    </row>
    <row r="7" spans="1:16" ht="24.95" customHeight="1" x14ac:dyDescent="0.2">
      <c r="A7" s="157"/>
      <c r="B7" s="159"/>
      <c r="C7" s="159"/>
      <c r="D7" s="159"/>
      <c r="E7" s="162"/>
      <c r="F7" s="164"/>
      <c r="G7" s="166"/>
      <c r="H7" s="177"/>
      <c r="I7" s="177"/>
      <c r="J7" s="159"/>
      <c r="K7" s="159"/>
      <c r="L7" s="168"/>
      <c r="M7" s="159"/>
      <c r="N7" s="168"/>
      <c r="O7" s="142"/>
      <c r="P7" s="142"/>
    </row>
    <row r="8" spans="1:16" ht="26.25" customHeight="1" x14ac:dyDescent="0.2">
      <c r="A8" s="157"/>
      <c r="B8" s="160"/>
      <c r="C8" s="160"/>
      <c r="D8" s="160"/>
      <c r="E8" s="18">
        <v>12792</v>
      </c>
      <c r="F8" s="19">
        <v>0.30280000000000001</v>
      </c>
      <c r="G8" s="2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23">
        <v>0.2</v>
      </c>
      <c r="N8" s="169"/>
      <c r="O8" s="143"/>
      <c r="P8" s="143"/>
    </row>
    <row r="9" spans="1:16" ht="24.75" hidden="1" customHeight="1" x14ac:dyDescent="0.2">
      <c r="A9" s="157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24">
        <v>12</v>
      </c>
      <c r="N9" s="24">
        <v>13</v>
      </c>
      <c r="O9" s="24">
        <v>14</v>
      </c>
      <c r="P9" s="24">
        <v>14</v>
      </c>
    </row>
    <row r="10" spans="1:16" ht="20.100000000000001" customHeight="1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25"/>
    </row>
    <row r="11" spans="1:16" ht="52.5" customHeight="1" x14ac:dyDescent="0.2">
      <c r="A11" s="26" t="s">
        <v>106</v>
      </c>
      <c r="B11" s="27" t="s">
        <v>18</v>
      </c>
      <c r="C11" s="27" t="s">
        <v>18</v>
      </c>
      <c r="D11" s="27">
        <f>SUM(D12:D14)</f>
        <v>14.627784336875246</v>
      </c>
      <c r="E11" s="27">
        <f t="shared" ref="E11:N11" si="0">SUM(E12:E14)</f>
        <v>2245423.4068476977</v>
      </c>
      <c r="F11" s="27">
        <f t="shared" si="0"/>
        <v>679914.20759348292</v>
      </c>
      <c r="G11" s="27">
        <f t="shared" si="0"/>
        <v>50746.568994757967</v>
      </c>
      <c r="H11" s="27">
        <f t="shared" si="0"/>
        <v>60626.431984887837</v>
      </c>
      <c r="I11" s="27">
        <f t="shared" si="0"/>
        <v>1066576.1182526564</v>
      </c>
      <c r="J11" s="27">
        <f t="shared" si="0"/>
        <v>4103286.7336734831</v>
      </c>
      <c r="K11" s="27">
        <f t="shared" si="0"/>
        <v>12309.86020102045</v>
      </c>
      <c r="L11" s="27">
        <f t="shared" si="0"/>
        <v>4115596.5938745039</v>
      </c>
      <c r="M11" s="27">
        <f t="shared" si="0"/>
        <v>823119.31877490086</v>
      </c>
      <c r="N11" s="27">
        <f t="shared" si="0"/>
        <v>4938715.9126494052</v>
      </c>
      <c r="O11" s="27">
        <f>SUM(O12:O14)</f>
        <v>1.7259712607155657</v>
      </c>
      <c r="P11" s="27">
        <f>(1.77*1.055)*1.045</f>
        <v>1.9513807499999998</v>
      </c>
    </row>
    <row r="12" spans="1:16" ht="20.100000000000001" customHeight="1" x14ac:dyDescent="0.25">
      <c r="A12" s="28" t="s">
        <v>19</v>
      </c>
      <c r="B12" s="29">
        <f>'[1]1 категория!!!!!!!!!!!!!!!'!Z35</f>
        <v>7243</v>
      </c>
      <c r="C12" s="29">
        <v>3630</v>
      </c>
      <c r="D12" s="30">
        <f>B12/C12</f>
        <v>1.9953168044077134</v>
      </c>
      <c r="E12" s="30">
        <f>D12*$E$8*12</f>
        <v>306289.11074380163</v>
      </c>
      <c r="F12" s="31">
        <f>E12*$F$8</f>
        <v>92744.342733223137</v>
      </c>
      <c r="G12" s="31">
        <f>E12*$G$8</f>
        <v>6922.1339028099164</v>
      </c>
      <c r="H12" s="31">
        <f>E12*$H$8</f>
        <v>8269.8059900826447</v>
      </c>
      <c r="I12" s="31">
        <f>E12*$I$8</f>
        <v>145487.32760330578</v>
      </c>
      <c r="J12" s="31">
        <f>SUM(E12:I12)</f>
        <v>559712.7209732231</v>
      </c>
      <c r="K12" s="31">
        <f>J12*$K$8</f>
        <v>1679.1381629196694</v>
      </c>
      <c r="L12" s="32">
        <f>SUM(J12:K12)</f>
        <v>561391.85913614277</v>
      </c>
      <c r="M12" s="31">
        <f>L12*$M$8</f>
        <v>112278.37182722856</v>
      </c>
      <c r="N12" s="32">
        <f>SUM(L12:M12)</f>
        <v>673670.23096337134</v>
      </c>
      <c r="O12" s="31">
        <f>N12/$E$4/12</f>
        <v>0.23543274778456322</v>
      </c>
      <c r="P12" s="27">
        <f>(0.23*1.055)*1.045</f>
        <v>0.25356924999999997</v>
      </c>
    </row>
    <row r="13" spans="1:16" ht="20.100000000000001" customHeight="1" x14ac:dyDescent="0.25">
      <c r="A13" s="28" t="s">
        <v>20</v>
      </c>
      <c r="B13" s="29">
        <f>'[1]1 категория!!!!!!!!!!!!!!!'!AA35</f>
        <v>38908</v>
      </c>
      <c r="C13" s="29">
        <v>3080</v>
      </c>
      <c r="D13" s="30">
        <f>B13/C13</f>
        <v>12.632467532467533</v>
      </c>
      <c r="E13" s="30">
        <f>D13*$E$8*12</f>
        <v>1939134.2961038961</v>
      </c>
      <c r="F13" s="31">
        <f>E13*$F$8</f>
        <v>587169.86486025981</v>
      </c>
      <c r="G13" s="31">
        <f>E13*$G$8</f>
        <v>43824.435091948049</v>
      </c>
      <c r="H13" s="31">
        <f>E13*$H$8</f>
        <v>52356.625994805196</v>
      </c>
      <c r="I13" s="31">
        <f>E13*$I$8</f>
        <v>921088.79064935062</v>
      </c>
      <c r="J13" s="31">
        <f>SUM(E13:I13)</f>
        <v>3543574.0127002602</v>
      </c>
      <c r="K13" s="31">
        <f>J13*$K$8</f>
        <v>10630.722038100781</v>
      </c>
      <c r="L13" s="32">
        <f>SUM(J13:K13)</f>
        <v>3554204.7347383611</v>
      </c>
      <c r="M13" s="31">
        <f>L13*$M$8</f>
        <v>710840.94694767229</v>
      </c>
      <c r="N13" s="32">
        <f>SUM(L13:M13)</f>
        <v>4265045.6816860335</v>
      </c>
      <c r="O13" s="31">
        <f>N13/$E$4/12</f>
        <v>1.4905385129310025</v>
      </c>
      <c r="P13" s="27">
        <f>1.63*1.045</f>
        <v>1.7033499999999997</v>
      </c>
    </row>
    <row r="14" spans="1:16" ht="20.100000000000001" customHeight="1" x14ac:dyDescent="0.25">
      <c r="A14" s="28" t="s">
        <v>21</v>
      </c>
      <c r="B14" s="29">
        <f>'[1]1 категория!!!!!!!!!!!!!!!'!AB35</f>
        <v>0</v>
      </c>
      <c r="C14" s="29">
        <v>2500</v>
      </c>
      <c r="D14" s="30">
        <f>B14/C14</f>
        <v>0</v>
      </c>
      <c r="E14" s="30">
        <f>D14*$E$8*12</f>
        <v>0</v>
      </c>
      <c r="F14" s="31">
        <f>E14*$F$8</f>
        <v>0</v>
      </c>
      <c r="G14" s="31">
        <f>E14*$G$8</f>
        <v>0</v>
      </c>
      <c r="H14" s="31">
        <f>E14*$H$8</f>
        <v>0</v>
      </c>
      <c r="I14" s="31">
        <f>E14*$I$8</f>
        <v>0</v>
      </c>
      <c r="J14" s="31">
        <f>SUM(E14:I14)</f>
        <v>0</v>
      </c>
      <c r="K14" s="31">
        <f>J14*$K$8</f>
        <v>0</v>
      </c>
      <c r="L14" s="32">
        <f>SUM(J14:K14)</f>
        <v>0</v>
      </c>
      <c r="M14" s="31">
        <f>L14*$M$8</f>
        <v>0</v>
      </c>
      <c r="N14" s="32">
        <f>SUM(L14:M14)</f>
        <v>0</v>
      </c>
      <c r="O14" s="31">
        <f>N14/$E$4</f>
        <v>0</v>
      </c>
      <c r="P14" s="27">
        <f>(O14*1.04)*1.055</f>
        <v>0</v>
      </c>
    </row>
    <row r="15" spans="1:16" ht="20.100000000000001" customHeight="1" x14ac:dyDescent="0.25">
      <c r="A15" s="26" t="s">
        <v>98</v>
      </c>
      <c r="B15" s="29">
        <f>'[1]1 категория!!!!!!!!!!!!!!!'!X35</f>
        <v>38613</v>
      </c>
      <c r="C15" s="29">
        <v>30000</v>
      </c>
      <c r="D15" s="31">
        <f>B15/C15</f>
        <v>1.2870999999999999</v>
      </c>
      <c r="E15" s="30">
        <f>$E$8*D15*12</f>
        <v>197574.99839999998</v>
      </c>
      <c r="F15" s="31">
        <f>E15*$F$8</f>
        <v>59825.70951552</v>
      </c>
      <c r="G15" s="31">
        <f>E15*$G$8</f>
        <v>4465.1949638399992</v>
      </c>
      <c r="H15" s="31">
        <f>E15*$H$8</f>
        <v>5334.524956799999</v>
      </c>
      <c r="I15" s="31">
        <f>E15*$I$8</f>
        <v>93848.12423999999</v>
      </c>
      <c r="J15" s="31">
        <f>E15+F15+G15+H15+I15</f>
        <v>361048.55207615998</v>
      </c>
      <c r="K15" s="31">
        <f>J15*$K$8</f>
        <v>1083.14565622848</v>
      </c>
      <c r="L15" s="32">
        <f>J15+K15</f>
        <v>362131.69773238845</v>
      </c>
      <c r="M15" s="31">
        <f>L15*$M$8</f>
        <v>72426.339546477699</v>
      </c>
      <c r="N15" s="32">
        <f>L15+M15</f>
        <v>434558.03727886616</v>
      </c>
      <c r="O15" s="31">
        <f>N15/$E$4/12</f>
        <v>0.15186835945255364</v>
      </c>
      <c r="P15" s="27">
        <f>(0.14*1.055)*1.045</f>
        <v>0.1543465</v>
      </c>
    </row>
    <row r="16" spans="1:16" ht="52.5" customHeight="1" x14ac:dyDescent="0.25">
      <c r="A16" s="28" t="s">
        <v>107</v>
      </c>
      <c r="B16" s="29">
        <f>'[1]1 категория!!!!!!!!!!!!!!!'!Y35</f>
        <v>36830</v>
      </c>
      <c r="C16" s="29">
        <v>10000</v>
      </c>
      <c r="D16" s="31">
        <f>B16/C16</f>
        <v>3.6829999999999998</v>
      </c>
      <c r="E16" s="30">
        <f>$E$8*D16*12</f>
        <v>565355.23199999996</v>
      </c>
      <c r="F16" s="31">
        <f>E16*$F$8</f>
        <v>171189.56424959999</v>
      </c>
      <c r="G16" s="31">
        <f>E16*$G$8</f>
        <v>12777.028243199999</v>
      </c>
      <c r="H16" s="31">
        <f>E16*$H$8</f>
        <v>15264.591263999999</v>
      </c>
      <c r="I16" s="31">
        <f>E16*$I$8</f>
        <v>268543.7352</v>
      </c>
      <c r="J16" s="31">
        <f>E16+F16+G16+H16+I16</f>
        <v>1033130.1509568</v>
      </c>
      <c r="K16" s="31">
        <f>J16*$K$8</f>
        <v>3099.3904528704002</v>
      </c>
      <c r="L16" s="32">
        <f>J16+K16</f>
        <v>1036229.5414096704</v>
      </c>
      <c r="M16" s="31">
        <f>L16*$M$8</f>
        <v>207245.9082819341</v>
      </c>
      <c r="N16" s="32">
        <f>L16+M16</f>
        <v>1243475.4496916044</v>
      </c>
      <c r="O16" s="31">
        <f>N16/$E$4/12</f>
        <v>0.43456698614230055</v>
      </c>
      <c r="P16" s="27">
        <f>(0.43*1.055)*1.045</f>
        <v>0.47406424999999991</v>
      </c>
    </row>
    <row r="17" spans="1:16" ht="20.100000000000001" customHeight="1" x14ac:dyDescent="0.2">
      <c r="A17" s="33" t="s">
        <v>22</v>
      </c>
      <c r="B17" s="32"/>
      <c r="C17" s="32"/>
      <c r="D17" s="32">
        <f>SUM(D12:D16)</f>
        <v>19.597884336875246</v>
      </c>
      <c r="E17" s="32">
        <f t="shared" ref="E17:O17" si="1">SUM(E12:E16)</f>
        <v>3008353.6372476975</v>
      </c>
      <c r="F17" s="32">
        <f t="shared" si="1"/>
        <v>910929.48135860288</v>
      </c>
      <c r="G17" s="32">
        <f t="shared" si="1"/>
        <v>67988.792201797958</v>
      </c>
      <c r="H17" s="32">
        <f t="shared" si="1"/>
        <v>81225.548205687839</v>
      </c>
      <c r="I17" s="32">
        <f t="shared" si="1"/>
        <v>1428967.9776926565</v>
      </c>
      <c r="J17" s="32">
        <f t="shared" si="1"/>
        <v>5497465.4367064433</v>
      </c>
      <c r="K17" s="32">
        <f t="shared" si="1"/>
        <v>16492.396310119329</v>
      </c>
      <c r="L17" s="32">
        <f t="shared" si="1"/>
        <v>5513957.8330165623</v>
      </c>
      <c r="M17" s="32">
        <f t="shared" si="1"/>
        <v>1102791.5666033127</v>
      </c>
      <c r="N17" s="32">
        <f t="shared" si="1"/>
        <v>6616749.3996198755</v>
      </c>
      <c r="O17" s="32">
        <f t="shared" si="1"/>
        <v>2.3124066063104198</v>
      </c>
      <c r="P17" s="27">
        <f>P12+P13+P14+P15+P16</f>
        <v>2.5853299999999999</v>
      </c>
    </row>
    <row r="18" spans="1:16" ht="20.100000000000001" customHeight="1" x14ac:dyDescent="0.25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34"/>
    </row>
    <row r="19" spans="1:16" ht="46.5" customHeight="1" x14ac:dyDescent="0.25">
      <c r="A19" s="28" t="s">
        <v>24</v>
      </c>
      <c r="B19" s="29">
        <f>'[1]1 категория!!!!!!!!!!!!!!!'!N35</f>
        <v>27739.8</v>
      </c>
      <c r="C19" s="29">
        <f>B19/D19</f>
        <v>1182.9491389661</v>
      </c>
      <c r="D19" s="32">
        <f>'[1]1 категория!!!!!!!!!!!!!!!'!P35</f>
        <v>23.449697950872714</v>
      </c>
      <c r="E19" s="30">
        <f>E8*D19*12</f>
        <v>3599622.4342507655</v>
      </c>
      <c r="F19" s="31">
        <f>E19*F8</f>
        <v>1089965.6730911317</v>
      </c>
      <c r="G19" s="31">
        <f>E19*G8</f>
        <v>81351.467014067297</v>
      </c>
      <c r="H19" s="31">
        <f>E19*H8</f>
        <v>97189.80572477066</v>
      </c>
      <c r="I19" s="31">
        <f>E19*I8</f>
        <v>1709820.6562691135</v>
      </c>
      <c r="J19" s="31">
        <f>E19+F19+G19+H19+I19</f>
        <v>6577950.0363498479</v>
      </c>
      <c r="K19" s="31">
        <f>J19*K8</f>
        <v>19733.850109049545</v>
      </c>
      <c r="L19" s="31">
        <f>J19+K19</f>
        <v>6597683.886458897</v>
      </c>
      <c r="M19" s="31">
        <f>L19*M8</f>
        <v>1319536.7772917794</v>
      </c>
      <c r="N19" s="32">
        <f>L19+M19</f>
        <v>7917220.6637506764</v>
      </c>
      <c r="O19" s="31">
        <f>N19/$E$4/12</f>
        <v>2.7668923606999827</v>
      </c>
      <c r="P19" s="31">
        <f>(2.86*1.055)*1.045</f>
        <v>3.1530784999999995</v>
      </c>
    </row>
    <row r="20" spans="1:16" ht="20.100000000000001" customHeight="1" x14ac:dyDescent="0.25">
      <c r="A20" s="33" t="s">
        <v>25</v>
      </c>
      <c r="B20" s="29">
        <f>'[1]1 категория!!!!!!!!!!!!!!!'!S35</f>
        <v>10015</v>
      </c>
      <c r="C20" s="29">
        <v>600</v>
      </c>
      <c r="D20" s="32">
        <f>B20/C20</f>
        <v>16.691666666666666</v>
      </c>
      <c r="E20" s="35">
        <f>E8*D20*12</f>
        <v>2562237.5999999996</v>
      </c>
      <c r="F20" s="31">
        <f>$E$20*F8</f>
        <v>775845.54527999996</v>
      </c>
      <c r="G20" s="31">
        <f>$E$20*G8</f>
        <v>57906.569759999991</v>
      </c>
      <c r="H20" s="31">
        <f>$E$20*H8</f>
        <v>69180.415199999989</v>
      </c>
      <c r="I20" s="31">
        <f>$E$20*I8</f>
        <v>1217062.8599999999</v>
      </c>
      <c r="J20" s="31">
        <f>E20+F20+G20+H20+I20</f>
        <v>4682232.9902400002</v>
      </c>
      <c r="K20" s="31">
        <f>J20*K8</f>
        <v>14046.698970720001</v>
      </c>
      <c r="L20" s="31">
        <f>J20+K20</f>
        <v>4696279.6892107204</v>
      </c>
      <c r="M20" s="31">
        <f>L20*M8</f>
        <v>939255.93784214417</v>
      </c>
      <c r="N20" s="32">
        <f>L20+M20</f>
        <v>5635535.6270528641</v>
      </c>
      <c r="O20" s="31">
        <f>N20/$E$4/12</f>
        <v>1.9694942375849129</v>
      </c>
      <c r="P20" s="31">
        <f>(2.03*1.055)*1.045</f>
        <v>2.2380242499999996</v>
      </c>
    </row>
    <row r="21" spans="1:16" ht="20.100000000000001" customHeight="1" x14ac:dyDescent="0.25">
      <c r="A21" s="33" t="s">
        <v>26</v>
      </c>
      <c r="B21" s="36"/>
      <c r="C21" s="36"/>
      <c r="D21" s="36"/>
      <c r="E21" s="35">
        <f t="shared" ref="E21:N21" si="2">E20+E17+E19</f>
        <v>9170213.6714984626</v>
      </c>
      <c r="F21" s="35">
        <f t="shared" si="2"/>
        <v>2776740.6997297346</v>
      </c>
      <c r="G21" s="35">
        <f t="shared" si="2"/>
        <v>207246.82897586527</v>
      </c>
      <c r="H21" s="35">
        <f t="shared" si="2"/>
        <v>247595.76913045847</v>
      </c>
      <c r="I21" s="35">
        <f t="shared" si="2"/>
        <v>4355851.4939617701</v>
      </c>
      <c r="J21" s="35">
        <f t="shared" si="2"/>
        <v>16757648.46329629</v>
      </c>
      <c r="K21" s="35">
        <f t="shared" si="2"/>
        <v>50272.945389888875</v>
      </c>
      <c r="L21" s="35">
        <f t="shared" si="2"/>
        <v>16807921.40868618</v>
      </c>
      <c r="M21" s="35">
        <f t="shared" si="2"/>
        <v>3361584.2817372363</v>
      </c>
      <c r="N21" s="35">
        <f t="shared" si="2"/>
        <v>20169505.690423414</v>
      </c>
      <c r="O21" s="35">
        <f>O20+O17+O19</f>
        <v>7.0487932045953148</v>
      </c>
      <c r="P21" s="31">
        <f>P17+P19+P20</f>
        <v>7.976432749999999</v>
      </c>
    </row>
    <row r="22" spans="1:16" ht="20.100000000000001" customHeight="1" x14ac:dyDescent="0.25">
      <c r="A22" s="33" t="s">
        <v>27</v>
      </c>
      <c r="B22" s="37" t="s">
        <v>28</v>
      </c>
      <c r="C22" s="38">
        <f>'[1]1 категория!!!!!!!!!!!!!!!'!AD35</f>
        <v>23095</v>
      </c>
      <c r="D22" s="174"/>
      <c r="E22" s="175"/>
      <c r="F22" s="175"/>
      <c r="G22" s="175"/>
      <c r="H22" s="175"/>
      <c r="I22" s="175"/>
      <c r="J22" s="175"/>
      <c r="K22" s="176"/>
      <c r="L22" s="30">
        <f>C22*0.5*12</f>
        <v>138570</v>
      </c>
      <c r="M22" s="30">
        <f>L22*0.2</f>
        <v>27714</v>
      </c>
      <c r="N22" s="30">
        <f>SUM(L22:M22)</f>
        <v>166284</v>
      </c>
      <c r="O22" s="35">
        <f>N22/E4/12</f>
        <v>5.8112556015165372E-2</v>
      </c>
      <c r="P22" s="31">
        <f>((O22*1.04)*1.055)*1.045</f>
        <v>6.6630345800532217E-2</v>
      </c>
    </row>
    <row r="23" spans="1:16" ht="20.100000000000001" customHeight="1" x14ac:dyDescent="0.25">
      <c r="A23" s="33" t="s">
        <v>29</v>
      </c>
      <c r="B23" s="37" t="s">
        <v>30</v>
      </c>
      <c r="C23" s="38">
        <f>'[1]1 категория!!!!!!!!!!!!!!!'!AD35</f>
        <v>23095</v>
      </c>
      <c r="D23" s="174"/>
      <c r="E23" s="175"/>
      <c r="F23" s="175"/>
      <c r="G23" s="175"/>
      <c r="H23" s="175"/>
      <c r="I23" s="175"/>
      <c r="J23" s="175"/>
      <c r="K23" s="176"/>
      <c r="L23" s="30">
        <v>58000</v>
      </c>
      <c r="M23" s="30">
        <f>L23*0.2</f>
        <v>11600</v>
      </c>
      <c r="N23" s="30">
        <f>SUM(L23:M23)</f>
        <v>69600</v>
      </c>
      <c r="O23" s="35">
        <f>N23/E4/12</f>
        <v>2.4323650493466058E-2</v>
      </c>
      <c r="P23" s="31">
        <f>((O23*1.04)*1.055)*1.045</f>
        <v>2.7888865240895348E-2</v>
      </c>
    </row>
    <row r="24" spans="1:16" s="3" customFormat="1" ht="20.100000000000001" customHeight="1" x14ac:dyDescent="0.25">
      <c r="A24" s="39"/>
      <c r="B24" s="40"/>
      <c r="C24" s="40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31"/>
    </row>
    <row r="25" spans="1:16" ht="20.100000000000001" hidden="1" customHeight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161" t="s">
        <v>31</v>
      </c>
      <c r="F25" s="141" t="s">
        <v>7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33</v>
      </c>
      <c r="M25" s="158" t="s">
        <v>14</v>
      </c>
      <c r="N25" s="178" t="s">
        <v>34</v>
      </c>
      <c r="O25" s="144" t="s">
        <v>16</v>
      </c>
      <c r="P25" s="144" t="s">
        <v>16</v>
      </c>
    </row>
    <row r="26" spans="1:16" ht="20.100000000000001" hidden="1" customHeight="1" x14ac:dyDescent="0.25">
      <c r="A26" s="157"/>
      <c r="B26" s="185"/>
      <c r="C26" s="185"/>
      <c r="D26" s="186"/>
      <c r="E26" s="162"/>
      <c r="F26" s="142"/>
      <c r="G26" s="182"/>
      <c r="H26" s="159"/>
      <c r="I26" s="159"/>
      <c r="J26" s="183"/>
      <c r="K26" s="159"/>
      <c r="L26" s="184"/>
      <c r="M26" s="159"/>
      <c r="N26" s="178"/>
      <c r="O26" s="144"/>
      <c r="P26" s="144"/>
    </row>
    <row r="27" spans="1:16" ht="20.100000000000001" hidden="1" customHeight="1" x14ac:dyDescent="0.25">
      <c r="A27" s="157"/>
      <c r="B27" s="185"/>
      <c r="C27" s="185"/>
      <c r="D27" s="186"/>
      <c r="E27" s="43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23">
        <v>0.2</v>
      </c>
      <c r="N27" s="178"/>
      <c r="O27" s="144"/>
      <c r="P27" s="144"/>
    </row>
    <row r="28" spans="1:16" ht="20.100000000000001" hidden="1" customHeight="1" x14ac:dyDescent="0.3">
      <c r="A28" s="157"/>
      <c r="B28" s="46">
        <v>1</v>
      </c>
      <c r="C28" s="46">
        <v>2</v>
      </c>
      <c r="D28" s="46">
        <v>3</v>
      </c>
      <c r="E28" s="46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47">
        <v>12</v>
      </c>
      <c r="N28" s="46">
        <v>13</v>
      </c>
      <c r="O28" s="46">
        <v>14</v>
      </c>
      <c r="P28" s="46">
        <v>14</v>
      </c>
    </row>
    <row r="29" spans="1:16" ht="20.100000000000001" customHeight="1" x14ac:dyDescent="0.25">
      <c r="A29" s="26" t="s">
        <v>114</v>
      </c>
      <c r="B29" s="29">
        <f>'[1]1 категория!!!!!!!!!!!!!!!'!M35</f>
        <v>8636</v>
      </c>
      <c r="C29" s="29">
        <v>2504</v>
      </c>
      <c r="D29" s="31">
        <f>B29/C29*0.2</f>
        <v>0.68977635782747604</v>
      </c>
      <c r="E29" s="30">
        <f>D29*$E$27*12</f>
        <v>130152.5214057508</v>
      </c>
      <c r="F29" s="31">
        <f>E29*$F$27</f>
        <v>39410.183481661341</v>
      </c>
      <c r="G29" s="31">
        <f>E29*$G$27</f>
        <v>2941.446983769968</v>
      </c>
      <c r="H29" s="31">
        <f>E29*$H$27</f>
        <v>3514.1180779552715</v>
      </c>
      <c r="I29" s="31">
        <f>E29*$I$27</f>
        <v>61822.447667731627</v>
      </c>
      <c r="J29" s="31">
        <f>SUM(E29:I29)</f>
        <v>237840.71761686902</v>
      </c>
      <c r="K29" s="31">
        <f>J29*$K$27</f>
        <v>713.52215285060709</v>
      </c>
      <c r="L29" s="31">
        <f>SUM(J29:K29)</f>
        <v>238554.23976971963</v>
      </c>
      <c r="M29" s="31">
        <f>L29*$M$27</f>
        <v>47710.847953943929</v>
      </c>
      <c r="N29" s="31">
        <f>SUM(L29:M29)</f>
        <v>286265.08772366354</v>
      </c>
      <c r="O29" s="31">
        <f>N29/$E$4</f>
        <v>1.2005193003916885</v>
      </c>
      <c r="P29" s="31">
        <f>(1.24*1.055)*1.045</f>
        <v>1.3670689999999996</v>
      </c>
    </row>
    <row r="30" spans="1:16" ht="20.100000000000001" customHeight="1" x14ac:dyDescent="0.25">
      <c r="A30" s="26" t="s">
        <v>115</v>
      </c>
      <c r="B30" s="48">
        <f>'[1]1 категория!!!!!!!!!!!!!!!'!L35</f>
        <v>0</v>
      </c>
      <c r="C30" s="29">
        <v>2504</v>
      </c>
      <c r="D30" s="31">
        <f>B30/C30*0.59*4</f>
        <v>0</v>
      </c>
      <c r="E30" s="30">
        <f>D30*$E$27</f>
        <v>0</v>
      </c>
      <c r="F30" s="31">
        <f>E30*$F$27</f>
        <v>0</v>
      </c>
      <c r="G30" s="31">
        <f>E30*$G$27</f>
        <v>0</v>
      </c>
      <c r="H30" s="31">
        <f>E30*$H$27</f>
        <v>0</v>
      </c>
      <c r="I30" s="31">
        <f>E30*$I$27</f>
        <v>0</v>
      </c>
      <c r="J30" s="31">
        <f>SUM(E30:I30)</f>
        <v>0</v>
      </c>
      <c r="K30" s="31">
        <f>J30*$K$27</f>
        <v>0</v>
      </c>
      <c r="L30" s="31">
        <f>SUM(J30:K30)</f>
        <v>0</v>
      </c>
      <c r="M30" s="31">
        <f>L30*$M$27</f>
        <v>0</v>
      </c>
      <c r="N30" s="31">
        <f>SUM(L30:M30)</f>
        <v>0</v>
      </c>
      <c r="O30" s="31">
        <f>N30/$E$4</f>
        <v>0</v>
      </c>
      <c r="P30" s="31">
        <f>(O30*1.04)*1.055</f>
        <v>0</v>
      </c>
    </row>
    <row r="31" spans="1:16" ht="20.100000000000001" customHeight="1" x14ac:dyDescent="0.25">
      <c r="A31" s="33" t="s">
        <v>35</v>
      </c>
      <c r="B31" s="33"/>
      <c r="C31" s="33"/>
      <c r="D31" s="134">
        <f>SUM(D29:D30)</f>
        <v>0.68977635782747604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134">
        <f>SUM(O29:O30)</f>
        <v>1.2005193003916885</v>
      </c>
      <c r="P31" s="31">
        <f>(1.24*1.055)*1.045</f>
        <v>1.3670689999999996</v>
      </c>
    </row>
    <row r="32" spans="1:16" ht="20.100000000000001" customHeight="1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4"/>
    </row>
    <row r="33" spans="1:17" ht="20.100000000000001" hidden="1" customHeight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161" t="s">
        <v>31</v>
      </c>
      <c r="F33" s="163" t="s">
        <v>7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37</v>
      </c>
      <c r="M33" s="158" t="s">
        <v>14</v>
      </c>
      <c r="N33" s="167" t="s">
        <v>15</v>
      </c>
      <c r="O33" s="141" t="s">
        <v>16</v>
      </c>
      <c r="P33" s="141" t="s">
        <v>16</v>
      </c>
    </row>
    <row r="34" spans="1:17" ht="20.100000000000001" hidden="1" customHeight="1" x14ac:dyDescent="0.25">
      <c r="A34" s="157"/>
      <c r="B34" s="159"/>
      <c r="C34" s="159"/>
      <c r="D34" s="159"/>
      <c r="E34" s="162"/>
      <c r="F34" s="164"/>
      <c r="G34" s="166"/>
      <c r="H34" s="177"/>
      <c r="I34" s="177"/>
      <c r="J34" s="159"/>
      <c r="K34" s="159"/>
      <c r="L34" s="168"/>
      <c r="M34" s="159"/>
      <c r="N34" s="168"/>
      <c r="O34" s="142"/>
      <c r="P34" s="142"/>
    </row>
    <row r="35" spans="1:17" ht="20.100000000000001" hidden="1" customHeight="1" x14ac:dyDescent="0.25">
      <c r="A35" s="157"/>
      <c r="B35" s="160"/>
      <c r="C35" s="160"/>
      <c r="D35" s="160"/>
      <c r="E35" s="18">
        <v>15458</v>
      </c>
      <c r="F35" s="19">
        <v>0.30280000000000001</v>
      </c>
      <c r="G35" s="50">
        <v>0.19400000000000001</v>
      </c>
      <c r="H35" s="21">
        <v>0.16</v>
      </c>
      <c r="I35" s="21">
        <v>0.47499999999999998</v>
      </c>
      <c r="J35" s="160"/>
      <c r="K35" s="22">
        <v>3.0000000000000001E-3</v>
      </c>
      <c r="L35" s="169"/>
      <c r="M35" s="23">
        <v>0.2</v>
      </c>
      <c r="N35" s="169"/>
      <c r="O35" s="143"/>
      <c r="P35" s="143"/>
    </row>
    <row r="36" spans="1:17" ht="20.100000000000001" hidden="1" customHeight="1" x14ac:dyDescent="0.3">
      <c r="A36" s="157"/>
      <c r="B36" s="24">
        <v>1</v>
      </c>
      <c r="C36" s="24">
        <v>2</v>
      </c>
      <c r="D36" s="24">
        <v>3</v>
      </c>
      <c r="E36" s="24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24">
        <v>12</v>
      </c>
      <c r="N36" s="24">
        <v>13</v>
      </c>
      <c r="O36" s="24">
        <v>14</v>
      </c>
      <c r="P36" s="24">
        <v>14</v>
      </c>
      <c r="Q36" s="4">
        <f>D37+D53+D64+D68</f>
        <v>45.180000000000007</v>
      </c>
    </row>
    <row r="37" spans="1:17" ht="20.100000000000001" customHeight="1" x14ac:dyDescent="0.25">
      <c r="A37" s="51" t="s">
        <v>38</v>
      </c>
      <c r="B37" s="52" t="s">
        <v>18</v>
      </c>
      <c r="C37" s="52" t="s">
        <v>18</v>
      </c>
      <c r="D37" s="53">
        <f>(('[1]1 категория!!!!!!!!!!!!!!!'!K35))+4-D53-D64-D68</f>
        <v>27.099000000000004</v>
      </c>
      <c r="E37" s="52">
        <f>D37*$E$35*12</f>
        <v>5026756.1040000003</v>
      </c>
      <c r="F37" s="52">
        <f>E37*$F$35</f>
        <v>1522101.7482912003</v>
      </c>
      <c r="G37" s="52">
        <f>E37*$G$35</f>
        <v>975190.68417600007</v>
      </c>
      <c r="H37" s="52">
        <f>E37*$H$35</f>
        <v>804280.97664000001</v>
      </c>
      <c r="I37" s="52">
        <f>E37*$I$35</f>
        <v>2387709.1494</v>
      </c>
      <c r="J37" s="52">
        <f>SUM(E37:I37)</f>
        <v>10716038.662507201</v>
      </c>
      <c r="K37" s="52">
        <f>J37*$K$35</f>
        <v>32148.115987521604</v>
      </c>
      <c r="L37" s="52">
        <f>SUM(J37:K37)</f>
        <v>10748186.778494723</v>
      </c>
      <c r="M37" s="52">
        <f>L37*$M$35</f>
        <v>2149637.3556989445</v>
      </c>
      <c r="N37" s="52">
        <f>SUM(L37:M37)</f>
        <v>12897824.134193668</v>
      </c>
      <c r="O37" s="32">
        <f>N37/$E$4/12</f>
        <v>4.5075023903206644</v>
      </c>
      <c r="P37" s="31">
        <f>(4.66*1.055)*1.045</f>
        <v>5.1375334999999991</v>
      </c>
      <c r="Q37" s="4"/>
    </row>
    <row r="38" spans="1:17" ht="20.100000000000001" customHeight="1" x14ac:dyDescent="0.25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34"/>
      <c r="Q38" s="4"/>
    </row>
    <row r="39" spans="1:17" ht="30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54"/>
      <c r="Q39" s="4"/>
    </row>
    <row r="40" spans="1:17" ht="20.100000000000001" customHeight="1" x14ac:dyDescent="0.25">
      <c r="A40" s="55" t="s">
        <v>41</v>
      </c>
      <c r="B40" s="187" t="s">
        <v>42</v>
      </c>
      <c r="C40" s="188"/>
      <c r="D40" s="55">
        <v>5.0999999999999996</v>
      </c>
      <c r="E40" s="31">
        <f>D40*E35*12</f>
        <v>946029.59999999986</v>
      </c>
      <c r="F40" s="31">
        <f>E40*$F$35</f>
        <v>286457.76287999999</v>
      </c>
      <c r="G40" s="31">
        <f>E40*$G$35</f>
        <v>183529.74239999999</v>
      </c>
      <c r="H40" s="31">
        <f>E40*$H$35</f>
        <v>151364.73599999998</v>
      </c>
      <c r="I40" s="31">
        <f>E40*$I$35</f>
        <v>449364.05999999994</v>
      </c>
      <c r="J40" s="31">
        <f>SUM(E40:I40)</f>
        <v>2016745.9012799999</v>
      </c>
      <c r="K40" s="31">
        <f>J40*$K$35</f>
        <v>6050.23770384</v>
      </c>
      <c r="L40" s="31">
        <f>SUM(J40:K40)</f>
        <v>2022796.1389838399</v>
      </c>
      <c r="M40" s="31">
        <f>L40*$M$35</f>
        <v>404559.22779676801</v>
      </c>
      <c r="N40" s="31">
        <f>SUM(L40:M40)</f>
        <v>2427355.366780608</v>
      </c>
      <c r="O40" s="134">
        <f>N40/$E$4/12</f>
        <v>0.84830666041681912</v>
      </c>
      <c r="P40" s="37">
        <v>0.98</v>
      </c>
    </row>
    <row r="41" spans="1:17" ht="20.100000000000001" customHeight="1" x14ac:dyDescent="0.25">
      <c r="A41" s="55" t="s">
        <v>43</v>
      </c>
      <c r="B41" s="187" t="s">
        <v>42</v>
      </c>
      <c r="C41" s="188"/>
      <c r="D41" s="55">
        <v>0.108</v>
      </c>
      <c r="E41" s="56">
        <f>D41*E35*12</f>
        <v>20033.567999999999</v>
      </c>
      <c r="F41" s="56">
        <f>E41*$F$35</f>
        <v>6066.1643904000002</v>
      </c>
      <c r="G41" s="56">
        <f>E41*$G$35</f>
        <v>3886.5121920000001</v>
      </c>
      <c r="H41" s="56">
        <f>E41*$H$35</f>
        <v>3205.3708799999999</v>
      </c>
      <c r="I41" s="56">
        <f>E41*$I$35</f>
        <v>9515.9447999999993</v>
      </c>
      <c r="J41" s="56">
        <f>SUM(E41:I41)</f>
        <v>42707.560262400002</v>
      </c>
      <c r="K41" s="56">
        <f>J41*$K$35</f>
        <v>128.12268078720001</v>
      </c>
      <c r="L41" s="56">
        <f>SUM(J41:K41)</f>
        <v>42835.682943187203</v>
      </c>
      <c r="M41" s="56">
        <f>L41*$M$35</f>
        <v>8567.1365886374406</v>
      </c>
      <c r="N41" s="56">
        <f>SUM(L41:M41)</f>
        <v>51402.819531824643</v>
      </c>
      <c r="O41" s="57">
        <f>N41/$E$4/12</f>
        <v>1.796414104412088E-2</v>
      </c>
      <c r="P41" s="37">
        <f>((O41*1.04)*1.055)*1.045</f>
        <v>2.0597217053521851E-2</v>
      </c>
    </row>
    <row r="42" spans="1:17" s="5" customFormat="1" ht="20.100000000000001" customHeight="1" x14ac:dyDescent="0.25">
      <c r="A42" s="58" t="s">
        <v>44</v>
      </c>
      <c r="B42" s="187" t="s">
        <v>30</v>
      </c>
      <c r="C42" s="188"/>
      <c r="D42" s="55">
        <v>0.50800000000000001</v>
      </c>
      <c r="E42" s="31">
        <f>D42*E35*12</f>
        <v>94231.967999999993</v>
      </c>
      <c r="F42" s="31">
        <f>E42*$F$35</f>
        <v>28533.4399104</v>
      </c>
      <c r="G42" s="31">
        <f>E42*$G$35</f>
        <v>18281.001791999999</v>
      </c>
      <c r="H42" s="31">
        <f>E42*$H$35</f>
        <v>15077.114879999999</v>
      </c>
      <c r="I42" s="31">
        <f>E42*$I$35</f>
        <v>44760.184799999995</v>
      </c>
      <c r="J42" s="31">
        <f>SUM(E42:I42)</f>
        <v>200883.7093824</v>
      </c>
      <c r="K42" s="31">
        <f>J42*$K$35</f>
        <v>602.65112814719998</v>
      </c>
      <c r="L42" s="31">
        <f>SUM(J42:K42)</f>
        <v>201486.36051054721</v>
      </c>
      <c r="M42" s="31">
        <f>L42*$M$35</f>
        <v>40297.272102109448</v>
      </c>
      <c r="N42" s="31">
        <f>SUM(L42:M42)</f>
        <v>241783.63261265666</v>
      </c>
      <c r="O42" s="134">
        <f>N42/$E$4/12</f>
        <v>8.4497996763087099E-2</v>
      </c>
      <c r="P42" s="37">
        <f>0.08*1.045</f>
        <v>8.3599999999999994E-2</v>
      </c>
    </row>
    <row r="43" spans="1:17" s="5" customFormat="1" ht="25.5" customHeight="1" x14ac:dyDescent="0.25">
      <c r="A43" s="189" t="s">
        <v>45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37"/>
    </row>
    <row r="44" spans="1:17" s="5" customFormat="1" ht="20.100000000000001" customHeight="1" x14ac:dyDescent="0.25">
      <c r="A44" s="58" t="s">
        <v>46</v>
      </c>
      <c r="B44" s="187" t="s">
        <v>30</v>
      </c>
      <c r="C44" s="188"/>
      <c r="D44" s="55">
        <v>4.8000000000000001E-2</v>
      </c>
      <c r="E44" s="31">
        <f>D44*$E$35*12</f>
        <v>8903.8080000000009</v>
      </c>
      <c r="F44" s="31">
        <f>E44*$F$35</f>
        <v>2696.0730624000003</v>
      </c>
      <c r="G44" s="31">
        <f>E44*$G$35</f>
        <v>1727.3387520000001</v>
      </c>
      <c r="H44" s="31">
        <f>E44*$H$35</f>
        <v>1424.6092800000001</v>
      </c>
      <c r="I44" s="31">
        <f>E44*$I$35</f>
        <v>4229.3087999999998</v>
      </c>
      <c r="J44" s="31">
        <f>SUM(E44:I44)</f>
        <v>18981.137894400003</v>
      </c>
      <c r="K44" s="31">
        <f>J44*$K$35</f>
        <v>56.943413683200006</v>
      </c>
      <c r="L44" s="31">
        <f>SUM(J44:K44)</f>
        <v>19038.081308083201</v>
      </c>
      <c r="M44" s="31">
        <f>L44*$M$35</f>
        <v>3807.6162616166403</v>
      </c>
      <c r="N44" s="31">
        <f>SUM(L44:M44)</f>
        <v>22845.697569699842</v>
      </c>
      <c r="O44" s="37">
        <f>N44/$E$4/12</f>
        <v>7.9840626862759459E-3</v>
      </c>
      <c r="P44" s="37">
        <f>((O44*1.04)*1.055)*1.045</f>
        <v>9.1543186904541555E-3</v>
      </c>
    </row>
    <row r="45" spans="1:17" s="5" customFormat="1" ht="20.100000000000001" customHeight="1" x14ac:dyDescent="0.25">
      <c r="A45" s="58" t="s">
        <v>47</v>
      </c>
      <c r="B45" s="187" t="s">
        <v>30</v>
      </c>
      <c r="C45" s="188"/>
      <c r="D45" s="55">
        <v>2.8000000000000001E-2</v>
      </c>
      <c r="E45" s="31">
        <f>D45*$E$35*12</f>
        <v>5193.8879999999999</v>
      </c>
      <c r="F45" s="31">
        <f>E45*$F$35</f>
        <v>1572.7092864000001</v>
      </c>
      <c r="G45" s="31">
        <f>E45*$G$35</f>
        <v>1007.614272</v>
      </c>
      <c r="H45" s="31">
        <f>E45*$H$35</f>
        <v>831.02207999999996</v>
      </c>
      <c r="I45" s="31">
        <f>E45*$I$35</f>
        <v>2467.0967999999998</v>
      </c>
      <c r="J45" s="31">
        <f>SUM(E45:I45)</f>
        <v>11072.330438399998</v>
      </c>
      <c r="K45" s="31">
        <f>J45*$K$35</f>
        <v>33.216991315199998</v>
      </c>
      <c r="L45" s="31">
        <f>SUM(J45:K45)</f>
        <v>11105.547429715198</v>
      </c>
      <c r="M45" s="31">
        <f>L45*$M$35</f>
        <v>2221.1094859430395</v>
      </c>
      <c r="N45" s="31">
        <f>SUM(L45:M45)</f>
        <v>13326.656915658237</v>
      </c>
      <c r="O45" s="37">
        <f>N45/$E$4/12</f>
        <v>4.6573699003276342E-3</v>
      </c>
      <c r="P45" s="37">
        <f>((O45*1.04)*1.055)*1.045</f>
        <v>5.3400192360982561E-3</v>
      </c>
    </row>
    <row r="46" spans="1:17" s="5" customFormat="1" ht="20.100000000000001" customHeight="1" x14ac:dyDescent="0.25">
      <c r="A46" s="58" t="s">
        <v>48</v>
      </c>
      <c r="B46" s="187" t="s">
        <v>30</v>
      </c>
      <c r="C46" s="188"/>
      <c r="D46" s="55">
        <v>0.31900000000000001</v>
      </c>
      <c r="E46" s="31">
        <f>D46*$E$35*12</f>
        <v>59173.224000000002</v>
      </c>
      <c r="F46" s="31">
        <f>E46*$F$35</f>
        <v>17917.6522272</v>
      </c>
      <c r="G46" s="31">
        <f>E46*$G$35</f>
        <v>11479.605456000001</v>
      </c>
      <c r="H46" s="31">
        <f>E46*$H$35</f>
        <v>9467.7158400000008</v>
      </c>
      <c r="I46" s="31">
        <f>E46*$I$35</f>
        <v>28107.2814</v>
      </c>
      <c r="J46" s="31">
        <f>SUM(E46:I46)</f>
        <v>126145.47892320002</v>
      </c>
      <c r="K46" s="31">
        <f>J46*$K$35</f>
        <v>378.43643676960005</v>
      </c>
      <c r="L46" s="31">
        <f>SUM(J46:K46)</f>
        <v>126523.91535996961</v>
      </c>
      <c r="M46" s="31">
        <f>L46*$M$35</f>
        <v>25304.783071993923</v>
      </c>
      <c r="N46" s="31">
        <f>SUM(L46:M46)</f>
        <v>151828.69843196354</v>
      </c>
      <c r="O46" s="37">
        <f>N46/$E$4/12</f>
        <v>5.3060749935875562E-2</v>
      </c>
      <c r="P46" s="37">
        <f>((O46*1.04)*1.055)*1.045</f>
        <v>6.083807629697658E-2</v>
      </c>
      <c r="Q46" s="6"/>
    </row>
    <row r="47" spans="1:17" s="5" customFormat="1" ht="20.100000000000001" customHeight="1" x14ac:dyDescent="0.25">
      <c r="A47" s="58" t="s">
        <v>49</v>
      </c>
      <c r="B47" s="187" t="s">
        <v>30</v>
      </c>
      <c r="C47" s="188"/>
      <c r="D47" s="59">
        <v>0.128</v>
      </c>
      <c r="E47" s="31">
        <f>D47*$E$35*12</f>
        <v>23743.488000000001</v>
      </c>
      <c r="F47" s="31">
        <f>E47*$F$35</f>
        <v>7189.5281664000004</v>
      </c>
      <c r="G47" s="31">
        <f>E47*$G$35</f>
        <v>4606.236672</v>
      </c>
      <c r="H47" s="31">
        <f>E47*$H$35</f>
        <v>3798.9580800000003</v>
      </c>
      <c r="I47" s="31">
        <f>E47*$I$35</f>
        <v>11278.156800000001</v>
      </c>
      <c r="J47" s="31">
        <f>SUM(E47:I47)</f>
        <v>50616.367718399997</v>
      </c>
      <c r="K47" s="31">
        <f>J47*$K$35</f>
        <v>151.8491031552</v>
      </c>
      <c r="L47" s="31">
        <f>SUM(J47:K47)</f>
        <v>50768.216821555194</v>
      </c>
      <c r="M47" s="31">
        <f>L47*$M$35</f>
        <v>10153.643364311039</v>
      </c>
      <c r="N47" s="31">
        <f>SUM(L47:M47)</f>
        <v>60921.86018586623</v>
      </c>
      <c r="O47" s="37">
        <f>N47/$E$4/12</f>
        <v>2.1290833830069186E-2</v>
      </c>
      <c r="P47" s="37">
        <f>0.03*1.045</f>
        <v>3.1349999999999996E-2</v>
      </c>
    </row>
    <row r="48" spans="1:17" s="5" customFormat="1" ht="20.100000000000001" customHeight="1" x14ac:dyDescent="0.25">
      <c r="A48" s="58" t="s">
        <v>50</v>
      </c>
      <c r="B48" s="187" t="s">
        <v>30</v>
      </c>
      <c r="C48" s="188"/>
      <c r="D48" s="59">
        <v>0.54400000000000004</v>
      </c>
      <c r="E48" s="31">
        <f>D48*$E$35*12</f>
        <v>100909.82399999999</v>
      </c>
      <c r="F48" s="31">
        <f>E48*$F$35</f>
        <v>30555.4947072</v>
      </c>
      <c r="G48" s="31">
        <f>E48*$G$35</f>
        <v>19576.505856</v>
      </c>
      <c r="H48" s="31">
        <f>E48*$H$35</f>
        <v>16145.571839999999</v>
      </c>
      <c r="I48" s="31">
        <f>E48*$I$35</f>
        <v>47932.166399999995</v>
      </c>
      <c r="J48" s="31">
        <f>SUM(E48:I48)</f>
        <v>215119.56280319998</v>
      </c>
      <c r="K48" s="31">
        <f>J48*$K$35</f>
        <v>645.35868840959995</v>
      </c>
      <c r="L48" s="31">
        <f>SUM(J48:K48)</f>
        <v>215764.92149160957</v>
      </c>
      <c r="M48" s="31">
        <f>L48*$M$35</f>
        <v>43152.984298321913</v>
      </c>
      <c r="N48" s="31">
        <f>SUM(L48:M48)</f>
        <v>258917.90578993148</v>
      </c>
      <c r="O48" s="37">
        <f>N48/$E$4/12</f>
        <v>9.0486043777794026E-2</v>
      </c>
      <c r="P48" s="37">
        <f>((O48*1.04)*1.055)*1.045</f>
        <v>0.1037489451584804</v>
      </c>
    </row>
    <row r="49" spans="1:16" s="5" customFormat="1" ht="20.100000000000001" customHeight="1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37"/>
    </row>
    <row r="50" spans="1:16" s="5" customFormat="1" ht="20.100000000000001" customHeight="1" x14ac:dyDescent="0.25">
      <c r="A50" s="58" t="s">
        <v>52</v>
      </c>
      <c r="B50" s="187" t="s">
        <v>30</v>
      </c>
      <c r="C50" s="188"/>
      <c r="D50" s="59">
        <v>1.2090000000000001</v>
      </c>
      <c r="E50" s="31">
        <f>D50*$E$35*12</f>
        <v>224264.66400000002</v>
      </c>
      <c r="F50" s="31">
        <f>E50*$F$35</f>
        <v>67907.340259200006</v>
      </c>
      <c r="G50" s="31">
        <f>E50*$G$35</f>
        <v>43507.344816000004</v>
      </c>
      <c r="H50" s="31">
        <f>E50*$H$35</f>
        <v>35882.346240000006</v>
      </c>
      <c r="I50" s="31">
        <f>E50*$I$35</f>
        <v>106525.7154</v>
      </c>
      <c r="J50" s="31">
        <f>SUM(E50:I50)</f>
        <v>478087.41071520001</v>
      </c>
      <c r="K50" s="31">
        <f>J50*$K$35</f>
        <v>1434.2622321456001</v>
      </c>
      <c r="L50" s="31">
        <f>SUM(J50:K50)</f>
        <v>479521.67294734559</v>
      </c>
      <c r="M50" s="31">
        <f>L50*$M$35</f>
        <v>95904.33458946913</v>
      </c>
      <c r="N50" s="31">
        <f>SUM(L50:M50)</f>
        <v>575426.00753681478</v>
      </c>
      <c r="O50" s="37">
        <f>N50/$E$4/12</f>
        <v>0.20109857891057539</v>
      </c>
      <c r="P50" s="37">
        <f>((O50*1.04)*1.055)*1.045</f>
        <v>0.23057440201581403</v>
      </c>
    </row>
    <row r="51" spans="1:16" s="5" customFormat="1" ht="33" customHeight="1" x14ac:dyDescent="0.25">
      <c r="A51" s="58" t="s">
        <v>53</v>
      </c>
      <c r="B51" s="187" t="s">
        <v>30</v>
      </c>
      <c r="C51" s="188"/>
      <c r="D51" s="59">
        <v>5.8000000000000003E-2</v>
      </c>
      <c r="E51" s="31">
        <f>D51*$E$35*12</f>
        <v>10758.768</v>
      </c>
      <c r="F51" s="31">
        <f>E51*$F$35</f>
        <v>3257.7549504000003</v>
      </c>
      <c r="G51" s="31">
        <f>E51*$G$35</f>
        <v>2087.200992</v>
      </c>
      <c r="H51" s="31">
        <f>E51*$H$35</f>
        <v>1721.4028800000001</v>
      </c>
      <c r="I51" s="31">
        <f>E51*$I$35</f>
        <v>5110.4147999999996</v>
      </c>
      <c r="J51" s="31">
        <f>SUM(E51:I51)</f>
        <v>22935.5416224</v>
      </c>
      <c r="K51" s="31">
        <f>J51*$K$35</f>
        <v>68.8066248672</v>
      </c>
      <c r="L51" s="31">
        <f>SUM(J51:K51)</f>
        <v>23004.3482472672</v>
      </c>
      <c r="M51" s="31">
        <f>L51*$M$35</f>
        <v>4600.8696494534406</v>
      </c>
      <c r="N51" s="31">
        <f>SUM(L51:M51)</f>
        <v>27605.217896720642</v>
      </c>
      <c r="O51" s="37">
        <f>N51/$E$4/12</f>
        <v>9.6474090792501022E-3</v>
      </c>
      <c r="P51" s="37">
        <f>((O51*1.04)*1.055)*1.045</f>
        <v>1.1061468417632106E-2</v>
      </c>
    </row>
    <row r="52" spans="1:16" s="5" customFormat="1" ht="20.100000000000001" customHeight="1" x14ac:dyDescent="0.25">
      <c r="A52" s="58" t="s">
        <v>54</v>
      </c>
      <c r="B52" s="187" t="s">
        <v>30</v>
      </c>
      <c r="C52" s="188"/>
      <c r="D52" s="59">
        <v>4.9000000000000002E-2</v>
      </c>
      <c r="E52" s="31">
        <f>D52*$E$35*12</f>
        <v>9089.3040000000001</v>
      </c>
      <c r="F52" s="31">
        <f>E52*$F$35</f>
        <v>2752.2412512000001</v>
      </c>
      <c r="G52" s="31">
        <f>E52*$G$35</f>
        <v>1763.3249760000001</v>
      </c>
      <c r="H52" s="31">
        <f>E52*$H$35</f>
        <v>1454.28864</v>
      </c>
      <c r="I52" s="31">
        <f>E52*$I$35</f>
        <v>4317.4193999999998</v>
      </c>
      <c r="J52" s="31">
        <f>SUM(E52:I52)</f>
        <v>19376.578267200002</v>
      </c>
      <c r="K52" s="31">
        <f>J52*$K$35</f>
        <v>58.129734801600009</v>
      </c>
      <c r="L52" s="31">
        <f>SUM(J52:K52)</f>
        <v>19434.708002001604</v>
      </c>
      <c r="M52" s="31">
        <f>L52*$M$35</f>
        <v>3886.941600400321</v>
      </c>
      <c r="N52" s="31">
        <f>SUM(L52:M52)</f>
        <v>23321.649602401925</v>
      </c>
      <c r="O52" s="37">
        <f>N52/$E$4/12</f>
        <v>8.1503973255733636E-3</v>
      </c>
      <c r="P52" s="37">
        <f>((O52*1.04)*1.05)*1.045</f>
        <v>9.3007444041047858E-3</v>
      </c>
    </row>
    <row r="53" spans="1:16" s="5" customFormat="1" ht="20.100000000000001" customHeight="1" x14ac:dyDescent="0.25">
      <c r="A53" s="60" t="s">
        <v>55</v>
      </c>
      <c r="B53" s="192"/>
      <c r="C53" s="193"/>
      <c r="D53" s="61">
        <f>D52+D51+D50+D48+D47+D45+D44+D42+D41+D40+D46</f>
        <v>8.0990000000000002</v>
      </c>
      <c r="E53" s="61">
        <f t="shared" ref="E53:N53" si="3">E52+E51+E50+E48+E47+E45+E44+E42+E41+E40+E46</f>
        <v>1502332.1039999998</v>
      </c>
      <c r="F53" s="61">
        <f t="shared" si="3"/>
        <v>454906.16109119996</v>
      </c>
      <c r="G53" s="61">
        <f t="shared" si="3"/>
        <v>291452.42817600002</v>
      </c>
      <c r="H53" s="61">
        <f t="shared" si="3"/>
        <v>240373.13663999995</v>
      </c>
      <c r="I53" s="61">
        <f t="shared" si="3"/>
        <v>713607.74939999986</v>
      </c>
      <c r="J53" s="61">
        <f t="shared" si="3"/>
        <v>3202671.5793071999</v>
      </c>
      <c r="K53" s="61">
        <f t="shared" si="3"/>
        <v>9608.0147379215996</v>
      </c>
      <c r="L53" s="61">
        <f t="shared" si="3"/>
        <v>3212279.5940451217</v>
      </c>
      <c r="M53" s="61">
        <f t="shared" si="3"/>
        <v>642455.9188090245</v>
      </c>
      <c r="N53" s="61">
        <f t="shared" si="3"/>
        <v>3854735.5128541463</v>
      </c>
      <c r="O53" s="134">
        <f>N53/E4/12</f>
        <v>1.3471442436697687</v>
      </c>
      <c r="P53" s="37">
        <f>((O53*1.04)*1.055)*1.045</f>
        <v>1.5446005640414211</v>
      </c>
    </row>
    <row r="54" spans="1:16" s="5" customFormat="1" ht="20.100000000000001" customHeight="1" x14ac:dyDescent="0.25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3"/>
      <c r="P54" s="37"/>
    </row>
    <row r="55" spans="1:16" s="5" customFormat="1" ht="20.100000000000001" customHeight="1" x14ac:dyDescent="0.25">
      <c r="A55" s="58" t="s">
        <v>57</v>
      </c>
      <c r="B55" s="187" t="s">
        <v>58</v>
      </c>
      <c r="C55" s="188"/>
      <c r="D55" s="59">
        <v>0.72099999999999997</v>
      </c>
      <c r="E55" s="52">
        <f>D55*$E$35*12</f>
        <v>133742.61599999998</v>
      </c>
      <c r="F55" s="52">
        <f>E55*$F$35</f>
        <v>40497.264124799993</v>
      </c>
      <c r="G55" s="52">
        <f>E55*$G$35</f>
        <v>25946.067503999995</v>
      </c>
      <c r="H55" s="52">
        <f>E55*$H$35</f>
        <v>21398.818559999996</v>
      </c>
      <c r="I55" s="52">
        <f>E55*$I$35</f>
        <v>63527.74259999999</v>
      </c>
      <c r="J55" s="52">
        <f>SUM(E55:I55)</f>
        <v>285112.50878879993</v>
      </c>
      <c r="K55" s="52">
        <f>J55*$K$35</f>
        <v>855.33752636639974</v>
      </c>
      <c r="L55" s="52">
        <f>SUM(J55:K55)</f>
        <v>285967.84631516633</v>
      </c>
      <c r="M55" s="52">
        <f>L55*$M$35</f>
        <v>57193.569263033271</v>
      </c>
      <c r="N55" s="52">
        <f>SUM(L55:M55)</f>
        <v>343161.41557819961</v>
      </c>
      <c r="O55" s="62">
        <f>N55/$E$4/12</f>
        <v>0.11992727493343658</v>
      </c>
      <c r="P55" s="52">
        <f>0.11*1.045</f>
        <v>0.11495</v>
      </c>
    </row>
    <row r="56" spans="1:16" s="5" customFormat="1" ht="20.100000000000001" customHeight="1" x14ac:dyDescent="0.25">
      <c r="A56" s="63" t="s">
        <v>59</v>
      </c>
      <c r="B56" s="187" t="s">
        <v>60</v>
      </c>
      <c r="C56" s="188"/>
      <c r="D56" s="59">
        <v>0.06</v>
      </c>
      <c r="E56" s="52">
        <f>D56*$E$35*12</f>
        <v>11129.76</v>
      </c>
      <c r="F56" s="52">
        <f>E56*$F$35</f>
        <v>3370.0913280000004</v>
      </c>
      <c r="G56" s="52">
        <f>E56*$G$35</f>
        <v>2159.17344</v>
      </c>
      <c r="H56" s="52">
        <f>E56*$H$35</f>
        <v>1780.7616</v>
      </c>
      <c r="I56" s="52">
        <f>E56*$I$35</f>
        <v>5286.6359999999995</v>
      </c>
      <c r="J56" s="52">
        <f>SUM(E56:I56)</f>
        <v>23726.422368</v>
      </c>
      <c r="K56" s="52">
        <f>J56*$K$35</f>
        <v>71.179267104000004</v>
      </c>
      <c r="L56" s="52">
        <f>SUM(J56:K56)</f>
        <v>23797.601635103998</v>
      </c>
      <c r="M56" s="52">
        <f>L56*$M$35</f>
        <v>4759.5203270207994</v>
      </c>
      <c r="N56" s="52">
        <f>SUM(L56:M56)</f>
        <v>28557.121962124798</v>
      </c>
      <c r="O56" s="53">
        <f>N56/$E$4/12</f>
        <v>9.9800783578449324E-3</v>
      </c>
      <c r="P56" s="52">
        <f>((O56*1.04)*1.055)*1.045</f>
        <v>1.1442898363067694E-2</v>
      </c>
    </row>
    <row r="57" spans="1:16" s="5" customFormat="1" ht="20.100000000000001" customHeight="1" x14ac:dyDescent="0.25">
      <c r="A57" s="58" t="s">
        <v>61</v>
      </c>
      <c r="B57" s="187" t="s">
        <v>60</v>
      </c>
      <c r="C57" s="188"/>
      <c r="D57" s="59">
        <v>0.315</v>
      </c>
      <c r="E57" s="52">
        <f>D57*$E$35*12</f>
        <v>58431.240000000005</v>
      </c>
      <c r="F57" s="52">
        <f>E57*$F$35</f>
        <v>17692.979472000003</v>
      </c>
      <c r="G57" s="52">
        <f>E57*$G$35</f>
        <v>11335.660560000002</v>
      </c>
      <c r="H57" s="52">
        <f>E57*$H$35</f>
        <v>9348.9984000000004</v>
      </c>
      <c r="I57" s="52">
        <f>E57*$I$35</f>
        <v>27754.839</v>
      </c>
      <c r="J57" s="52">
        <f>SUM(E57:I57)</f>
        <v>124563.717432</v>
      </c>
      <c r="K57" s="52">
        <f>J57*$K$35</f>
        <v>373.69115229600004</v>
      </c>
      <c r="L57" s="52">
        <f>SUM(J57:K57)</f>
        <v>124937.408584296</v>
      </c>
      <c r="M57" s="52">
        <f>L57*$M$35</f>
        <v>24987.481716859202</v>
      </c>
      <c r="N57" s="52">
        <f>SUM(L57:M57)</f>
        <v>149924.89030115522</v>
      </c>
      <c r="O57" s="53">
        <f>N57/$E$4/12</f>
        <v>5.2395411378685898E-2</v>
      </c>
      <c r="P57" s="52">
        <f>0.05*1.045</f>
        <v>5.2249999999999998E-2</v>
      </c>
    </row>
    <row r="58" spans="1:16" s="5" customFormat="1" ht="20.100000000000001" customHeight="1" x14ac:dyDescent="0.25">
      <c r="A58" s="58" t="s">
        <v>62</v>
      </c>
      <c r="B58" s="187" t="s">
        <v>60</v>
      </c>
      <c r="C58" s="188"/>
      <c r="D58" s="59">
        <v>0.50900000000000001</v>
      </c>
      <c r="E58" s="52">
        <f>D58*$E$35*12</f>
        <v>94417.464000000007</v>
      </c>
      <c r="F58" s="52">
        <f>E58*$F$35</f>
        <v>28589.608099200002</v>
      </c>
      <c r="G58" s="52">
        <f>E58*$G$35</f>
        <v>18316.988016000003</v>
      </c>
      <c r="H58" s="52">
        <f>E58*$H$35</f>
        <v>15106.794240000001</v>
      </c>
      <c r="I58" s="52">
        <f>E58*$I$35</f>
        <v>44848.295400000003</v>
      </c>
      <c r="J58" s="52">
        <f>SUM(E58:I58)</f>
        <v>201279.14975519999</v>
      </c>
      <c r="K58" s="52">
        <f>J58*$K$35</f>
        <v>603.83744926559996</v>
      </c>
      <c r="L58" s="52">
        <f>SUM(J58:K58)</f>
        <v>201882.98720446558</v>
      </c>
      <c r="M58" s="52">
        <f>L58*$M$35</f>
        <v>40376.597440893122</v>
      </c>
      <c r="N58" s="52">
        <f>SUM(L58:M58)</f>
        <v>242259.5846453587</v>
      </c>
      <c r="O58" s="53">
        <f>N58/$E$4/12</f>
        <v>8.4664331402384496E-2</v>
      </c>
      <c r="P58" s="52">
        <f>0.13*1.045</f>
        <v>0.13585</v>
      </c>
    </row>
    <row r="59" spans="1:16" s="5" customFormat="1" ht="20.100000000000001" customHeight="1" x14ac:dyDescent="0.25">
      <c r="A59" s="64" t="s">
        <v>63</v>
      </c>
      <c r="B59" s="187" t="s">
        <v>30</v>
      </c>
      <c r="C59" s="188"/>
      <c r="D59" s="194">
        <v>8.0090000000000003</v>
      </c>
      <c r="E59" s="145">
        <f>D59*$E$35*12</f>
        <v>1485637.4640000002</v>
      </c>
      <c r="F59" s="145">
        <f>E59*$F$35</f>
        <v>449851.02409920009</v>
      </c>
      <c r="G59" s="145">
        <f>E59*$G$35</f>
        <v>288213.66801600001</v>
      </c>
      <c r="H59" s="145">
        <f>E59*$H$35</f>
        <v>237701.99424000003</v>
      </c>
      <c r="I59" s="145">
        <f>E59*$I$35</f>
        <v>705677.79540000006</v>
      </c>
      <c r="J59" s="145">
        <f>SUM(E59:I59)</f>
        <v>3167081.9457552005</v>
      </c>
      <c r="K59" s="145">
        <f>J59*$K$35</f>
        <v>9501.2458372656019</v>
      </c>
      <c r="L59" s="145">
        <f>SUM(J59:K59)</f>
        <v>3176583.1915924661</v>
      </c>
      <c r="M59" s="145">
        <f>L59*$M$35</f>
        <v>635316.63831849326</v>
      </c>
      <c r="N59" s="145">
        <f>SUM(L59:M59)</f>
        <v>3811899.8299109591</v>
      </c>
      <c r="O59" s="208">
        <f>N59/$E$4/12</f>
        <v>1.3321741261330011</v>
      </c>
      <c r="P59" s="145">
        <v>1.51</v>
      </c>
    </row>
    <row r="60" spans="1:16" s="5" customFormat="1" ht="20.100000000000001" customHeight="1" x14ac:dyDescent="0.25">
      <c r="A60" s="64" t="s">
        <v>64</v>
      </c>
      <c r="B60" s="187" t="s">
        <v>30</v>
      </c>
      <c r="C60" s="188"/>
      <c r="D60" s="195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209"/>
      <c r="P60" s="146"/>
    </row>
    <row r="61" spans="1:16" s="5" customFormat="1" ht="20.100000000000001" customHeight="1" x14ac:dyDescent="0.25">
      <c r="A61" s="64" t="s">
        <v>65</v>
      </c>
      <c r="B61" s="187" t="s">
        <v>42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209"/>
      <c r="P61" s="146"/>
    </row>
    <row r="62" spans="1:16" s="5" customFormat="1" ht="20.100000000000001" customHeight="1" x14ac:dyDescent="0.25">
      <c r="A62" s="64" t="s">
        <v>66</v>
      </c>
      <c r="B62" s="187" t="s">
        <v>30</v>
      </c>
      <c r="C62" s="188"/>
      <c r="D62" s="196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210"/>
      <c r="P62" s="147"/>
    </row>
    <row r="63" spans="1:16" s="5" customFormat="1" ht="20.100000000000001" customHeight="1" x14ac:dyDescent="0.25">
      <c r="A63" s="58" t="s">
        <v>67</v>
      </c>
      <c r="B63" s="187" t="s">
        <v>42</v>
      </c>
      <c r="C63" s="188"/>
      <c r="D63" s="59">
        <v>2.5999999999999999E-2</v>
      </c>
      <c r="E63" s="52">
        <f>D63*$E$35*12</f>
        <v>4822.8959999999997</v>
      </c>
      <c r="F63" s="52">
        <f>E63*$F$35</f>
        <v>1460.3729088</v>
      </c>
      <c r="G63" s="52">
        <f>E63*$G$35</f>
        <v>935.64182399999993</v>
      </c>
      <c r="H63" s="52">
        <f>E63*$H$35</f>
        <v>771.66336000000001</v>
      </c>
      <c r="I63" s="52">
        <f>E63*$I$35</f>
        <v>2290.8755999999998</v>
      </c>
      <c r="J63" s="52">
        <f>SUM(E63:I63)</f>
        <v>10281.449692799999</v>
      </c>
      <c r="K63" s="52">
        <f>J63*$K$35</f>
        <v>30.844349078399997</v>
      </c>
      <c r="L63" s="52">
        <f>SUM(J63:K63)</f>
        <v>10312.294041878398</v>
      </c>
      <c r="M63" s="52">
        <f>L63*$M$35</f>
        <v>2062.4588083756798</v>
      </c>
      <c r="N63" s="52">
        <f>SUM(L63:M63)</f>
        <v>12374.752850254077</v>
      </c>
      <c r="O63" s="62">
        <f>N63/$E$4/12</f>
        <v>4.3247006217328032E-3</v>
      </c>
      <c r="P63" s="52">
        <f>((O63*1.04)*1.055)*1.045</f>
        <v>4.958589290662666E-3</v>
      </c>
    </row>
    <row r="64" spans="1:16" s="5" customFormat="1" ht="20.100000000000001" customHeight="1" x14ac:dyDescent="0.25">
      <c r="A64" s="58" t="s">
        <v>55</v>
      </c>
      <c r="B64" s="187"/>
      <c r="C64" s="188"/>
      <c r="D64" s="65">
        <f>D63+D59+D58+D57+D56+D55</f>
        <v>9.64</v>
      </c>
      <c r="E64" s="33">
        <f t="shared" ref="E64:N64" si="4">E63+E59+E58+E57+E56+E55</f>
        <v>1788181.44</v>
      </c>
      <c r="F64" s="33">
        <f t="shared" si="4"/>
        <v>541461.34003200009</v>
      </c>
      <c r="G64" s="33">
        <f t="shared" si="4"/>
        <v>346907.19935999997</v>
      </c>
      <c r="H64" s="33">
        <f t="shared" si="4"/>
        <v>286109.03040000005</v>
      </c>
      <c r="I64" s="33">
        <f t="shared" si="4"/>
        <v>849386.18400000012</v>
      </c>
      <c r="J64" s="33">
        <f t="shared" si="4"/>
        <v>3812045.1937920004</v>
      </c>
      <c r="K64" s="33">
        <f t="shared" si="4"/>
        <v>11436.135581376002</v>
      </c>
      <c r="L64" s="33">
        <f t="shared" si="4"/>
        <v>3823481.3293733769</v>
      </c>
      <c r="M64" s="33">
        <f t="shared" si="4"/>
        <v>764696.26587467524</v>
      </c>
      <c r="N64" s="33">
        <f t="shared" si="4"/>
        <v>4588177.595248051</v>
      </c>
      <c r="O64" s="53">
        <f>N64/$E$4/12</f>
        <v>1.6034659228270858</v>
      </c>
      <c r="P64" s="52">
        <f>P63+P59+P58+P57+P56+P55</f>
        <v>1.8294514876537304</v>
      </c>
    </row>
    <row r="65" spans="1:16" s="5" customFormat="1" ht="20.100000000000001" customHeight="1" x14ac:dyDescent="0.2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</row>
    <row r="66" spans="1:16" s="5" customFormat="1" ht="20.100000000000001" customHeight="1" x14ac:dyDescent="0.25">
      <c r="A66" s="151" t="s">
        <v>69</v>
      </c>
      <c r="B66" s="152"/>
      <c r="C66" s="153"/>
      <c r="D66" s="59">
        <v>0.13500000000000001</v>
      </c>
      <c r="E66" s="52">
        <f>D66*$E$35*12</f>
        <v>25041.96</v>
      </c>
      <c r="F66" s="52">
        <f>E66*$F$35</f>
        <v>7582.7054880000005</v>
      </c>
      <c r="G66" s="52">
        <f>E66*$G$35</f>
        <v>4858.1402399999997</v>
      </c>
      <c r="H66" s="52">
        <f>E66*$H$35</f>
        <v>4006.7136</v>
      </c>
      <c r="I66" s="52">
        <f>E66*$I$35</f>
        <v>11894.930999999999</v>
      </c>
      <c r="J66" s="52">
        <f>SUM(E66:I66)</f>
        <v>53384.450327999999</v>
      </c>
      <c r="K66" s="52">
        <f>J66*$K$35</f>
        <v>160.15335098400001</v>
      </c>
      <c r="L66" s="52">
        <f>SUM(J66:K66)</f>
        <v>53544.603678984</v>
      </c>
      <c r="M66" s="52">
        <f>L66*$M$35</f>
        <v>10708.920735796801</v>
      </c>
      <c r="N66" s="52">
        <f>SUM(L66:M66)</f>
        <v>64253.524414780797</v>
      </c>
      <c r="O66" s="53">
        <f>N66/$E$4/12</f>
        <v>2.2455176305151096E-2</v>
      </c>
      <c r="P66" s="52">
        <v>0.03</v>
      </c>
    </row>
    <row r="67" spans="1:16" s="5" customFormat="1" ht="20.100000000000001" customHeight="1" x14ac:dyDescent="0.25">
      <c r="A67" s="151" t="s">
        <v>70</v>
      </c>
      <c r="B67" s="152"/>
      <c r="C67" s="153"/>
      <c r="D67" s="59">
        <v>0.20699999999999999</v>
      </c>
      <c r="E67" s="52">
        <f>D67*$E$35*12</f>
        <v>38397.671999999999</v>
      </c>
      <c r="F67" s="52">
        <f>E67*$F$35</f>
        <v>11626.8150816</v>
      </c>
      <c r="G67" s="52">
        <f>E67*$G$35</f>
        <v>7449.1483680000001</v>
      </c>
      <c r="H67" s="52">
        <f>E67*$H$35</f>
        <v>6143.62752</v>
      </c>
      <c r="I67" s="52">
        <f>E67*$I$35</f>
        <v>18238.894199999999</v>
      </c>
      <c r="J67" s="52">
        <f>SUM(E67:I67)</f>
        <v>81856.157169600003</v>
      </c>
      <c r="K67" s="52">
        <f>J67*$K$35</f>
        <v>245.5684715088</v>
      </c>
      <c r="L67" s="52">
        <f>SUM(J67:K67)</f>
        <v>82101.725641108802</v>
      </c>
      <c r="M67" s="52">
        <f>L67*$M$35</f>
        <v>16420.345128221761</v>
      </c>
      <c r="N67" s="52">
        <f>SUM(L67:M67)</f>
        <v>98522.070769330559</v>
      </c>
      <c r="O67" s="53">
        <f>N67/$E$4/12</f>
        <v>3.4431270334565015E-2</v>
      </c>
      <c r="P67" s="52">
        <f>(O67*1.04)*1.055</f>
        <v>3.7777989811084732E-2</v>
      </c>
    </row>
    <row r="68" spans="1:16" s="5" customFormat="1" ht="20.100000000000001" customHeight="1" x14ac:dyDescent="0.25">
      <c r="A68" s="151" t="s">
        <v>55</v>
      </c>
      <c r="B68" s="152"/>
      <c r="C68" s="153"/>
      <c r="D68" s="65">
        <f>D67+D66</f>
        <v>0.34199999999999997</v>
      </c>
      <c r="E68" s="33">
        <f t="shared" ref="E68:O68" si="5">E67+E66</f>
        <v>63439.631999999998</v>
      </c>
      <c r="F68" s="33">
        <f t="shared" si="5"/>
        <v>19209.520569600001</v>
      </c>
      <c r="G68" s="33">
        <f t="shared" si="5"/>
        <v>12307.288607999999</v>
      </c>
      <c r="H68" s="33">
        <f t="shared" si="5"/>
        <v>10150.341120000001</v>
      </c>
      <c r="I68" s="33">
        <f t="shared" si="5"/>
        <v>30133.825199999999</v>
      </c>
      <c r="J68" s="33">
        <f t="shared" si="5"/>
        <v>135240.60749759999</v>
      </c>
      <c r="K68" s="33">
        <f t="shared" si="5"/>
        <v>405.72182249280002</v>
      </c>
      <c r="L68" s="33">
        <f t="shared" si="5"/>
        <v>135646.3293200928</v>
      </c>
      <c r="M68" s="33">
        <f t="shared" si="5"/>
        <v>27129.265864018562</v>
      </c>
      <c r="N68" s="33">
        <f t="shared" si="5"/>
        <v>162775.59518411136</v>
      </c>
      <c r="O68" s="134">
        <f t="shared" si="5"/>
        <v>5.6886446639716107E-2</v>
      </c>
      <c r="P68" s="52">
        <v>7.0000000000000007E-2</v>
      </c>
    </row>
    <row r="69" spans="1:16" ht="20.100000000000001" customHeight="1" x14ac:dyDescent="0.25">
      <c r="A69" s="179" t="s">
        <v>71</v>
      </c>
      <c r="B69" s="180"/>
      <c r="C69" s="181"/>
      <c r="D69" s="33"/>
      <c r="E69" s="33"/>
      <c r="F69" s="33"/>
      <c r="G69" s="33"/>
      <c r="H69" s="33"/>
      <c r="I69" s="33"/>
      <c r="J69" s="55">
        <f>E4*0.375*12</f>
        <v>1073029.7250000001</v>
      </c>
      <c r="K69" s="55">
        <f>J69*0.03%</f>
        <v>321.90891749999997</v>
      </c>
      <c r="L69" s="55">
        <f>J69+K69</f>
        <v>1073351.6339175</v>
      </c>
      <c r="M69" s="55">
        <f>L69*20%</f>
        <v>214670.32678350003</v>
      </c>
      <c r="N69" s="55">
        <f>SUM(L69:M69)</f>
        <v>1288021.9607009999</v>
      </c>
      <c r="O69" s="32">
        <f>N69/E4/12</f>
        <v>0.45013499999999995</v>
      </c>
      <c r="P69" s="31">
        <v>0.51</v>
      </c>
    </row>
    <row r="70" spans="1:16" ht="20.100000000000001" customHeight="1" x14ac:dyDescent="0.25">
      <c r="A70" s="203"/>
      <c r="B70" s="204"/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34"/>
    </row>
    <row r="71" spans="1:16" ht="20.100000000000001" customHeight="1" x14ac:dyDescent="0.25">
      <c r="A71" s="179" t="s">
        <v>72</v>
      </c>
      <c r="B71" s="180"/>
      <c r="C71" s="181"/>
      <c r="D71" s="33"/>
      <c r="E71" s="33"/>
      <c r="F71" s="33"/>
      <c r="G71" s="33"/>
      <c r="H71" s="33"/>
      <c r="I71" s="33"/>
      <c r="J71" s="55">
        <f>1.49*E4*12</f>
        <v>4263504.7740000002</v>
      </c>
      <c r="K71" s="55">
        <f>J71*0.03%</f>
        <v>1279.0514321999999</v>
      </c>
      <c r="L71" s="55">
        <f>SUM(J71:K71)</f>
        <v>4264783.8254322</v>
      </c>
      <c r="M71" s="55">
        <f>L71*20%</f>
        <v>852956.76508644002</v>
      </c>
      <c r="N71" s="55">
        <f>SUM(L71:M71)</f>
        <v>5117740.5905186404</v>
      </c>
      <c r="O71" s="32">
        <f>N71/E4/12</f>
        <v>1.7885363999999999</v>
      </c>
      <c r="P71" s="31">
        <v>2.0299999999999998</v>
      </c>
    </row>
    <row r="72" spans="1:16" ht="20.100000000000001" customHeight="1" x14ac:dyDescent="0.25">
      <c r="A72" s="203"/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34"/>
    </row>
    <row r="73" spans="1:16" ht="20.100000000000001" customHeight="1" x14ac:dyDescent="0.2">
      <c r="A73" s="148" t="s">
        <v>73</v>
      </c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50"/>
    </row>
    <row r="74" spans="1:16" ht="20.100000000000001" customHeight="1" x14ac:dyDescent="0.25">
      <c r="A74" s="205" t="s">
        <v>74</v>
      </c>
      <c r="B74" s="206"/>
      <c r="C74" s="207"/>
      <c r="D74" s="66"/>
      <c r="E74" s="66"/>
      <c r="F74" s="66"/>
      <c r="G74" s="66"/>
      <c r="H74" s="66"/>
      <c r="I74" s="66"/>
      <c r="J74" s="66"/>
      <c r="K74" s="66"/>
      <c r="L74" s="66">
        <f>2.19*E4*12</f>
        <v>6266493.5940000005</v>
      </c>
      <c r="M74" s="66">
        <f>L74*20%</f>
        <v>1253298.7188000001</v>
      </c>
      <c r="N74" s="66">
        <f>SUM(L74:M74)</f>
        <v>7519792.3128000004</v>
      </c>
      <c r="O74" s="31">
        <f>N74/E4/12</f>
        <v>2.6279999999999997</v>
      </c>
      <c r="P74" s="31">
        <f>((O74*1.04)*1.055)*1.045</f>
        <v>3.0131964719999993</v>
      </c>
    </row>
    <row r="75" spans="1:16" ht="20.100000000000001" hidden="1" customHeight="1" x14ac:dyDescent="0.3">
      <c r="A75" s="205" t="s">
        <v>75</v>
      </c>
      <c r="B75" s="206"/>
      <c r="C75" s="207"/>
      <c r="D75" s="66"/>
      <c r="E75" s="66"/>
      <c r="F75" s="66"/>
      <c r="G75" s="66"/>
      <c r="H75" s="66"/>
      <c r="I75" s="66"/>
      <c r="J75" s="66"/>
      <c r="K75" s="66"/>
      <c r="L75" s="66">
        <f>E4*0.275*12</f>
        <v>786888.46500000008</v>
      </c>
      <c r="M75" s="66">
        <f>L75*0.2</f>
        <v>157377.69300000003</v>
      </c>
      <c r="N75" s="66">
        <f>SUM(L75:M75)</f>
        <v>944266.15800000005</v>
      </c>
      <c r="O75" s="31">
        <f>N75/E4/12</f>
        <v>0.33</v>
      </c>
      <c r="P75" s="31">
        <v>0.55000000000000004</v>
      </c>
    </row>
    <row r="76" spans="1:16" ht="20.100000000000001" customHeight="1" x14ac:dyDescent="0.25">
      <c r="A76" s="198" t="s">
        <v>76</v>
      </c>
      <c r="B76" s="199"/>
      <c r="C76" s="200"/>
      <c r="D76" s="133"/>
      <c r="E76" s="133"/>
      <c r="F76" s="133"/>
      <c r="G76" s="133"/>
      <c r="H76" s="133"/>
      <c r="I76" s="133"/>
      <c r="J76" s="133"/>
      <c r="K76" s="133"/>
      <c r="L76" s="133">
        <f>110*2561</f>
        <v>281710</v>
      </c>
      <c r="M76" s="133">
        <f>L76*20%</f>
        <v>56342</v>
      </c>
      <c r="N76" s="133">
        <f>SUM(L76:M76)</f>
        <v>338052</v>
      </c>
      <c r="O76" s="31">
        <f>N76/E4</f>
        <v>1.4176997752788254</v>
      </c>
      <c r="P76" s="31">
        <f>((O76*1.04)*1.055)*1.045</f>
        <v>1.6254977021405437</v>
      </c>
    </row>
    <row r="77" spans="1:16" ht="20.100000000000001" customHeight="1" x14ac:dyDescent="0.25">
      <c r="A77" s="198" t="s">
        <v>77</v>
      </c>
      <c r="B77" s="199"/>
      <c r="C77" s="200"/>
      <c r="D77" s="133"/>
      <c r="E77" s="133"/>
      <c r="F77" s="133"/>
      <c r="G77" s="133"/>
      <c r="H77" s="133"/>
      <c r="I77" s="133"/>
      <c r="J77" s="133"/>
      <c r="K77" s="133"/>
      <c r="L77" s="133">
        <f>8000*5</f>
        <v>40000</v>
      </c>
      <c r="M77" s="133">
        <f>L77*20%</f>
        <v>8000</v>
      </c>
      <c r="N77" s="133">
        <f>SUM(L77:M77)</f>
        <v>48000</v>
      </c>
      <c r="O77" s="31">
        <f>N77/E4/12</f>
        <v>1.6774931374804177E-2</v>
      </c>
      <c r="P77" s="31">
        <f>((O77*1.04)*1.55)*1.045</f>
        <v>2.825804289811263E-2</v>
      </c>
    </row>
    <row r="78" spans="1:16" ht="20.100000000000001" customHeight="1" x14ac:dyDescent="0.25">
      <c r="A78" s="201" t="s">
        <v>22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SUM(O74:O77)</f>
        <v>4.3924747066536289</v>
      </c>
      <c r="P78" s="31">
        <f>P77+P76+P74</f>
        <v>4.6669522170386557</v>
      </c>
    </row>
    <row r="79" spans="1:16" ht="20.100000000000001" customHeight="1" x14ac:dyDescent="0.2">
      <c r="A79" s="13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0"/>
      <c r="P79" s="67"/>
    </row>
    <row r="80" spans="1:16" s="5" customFormat="1" ht="26.25" customHeight="1" x14ac:dyDescent="0.2">
      <c r="A80" s="201" t="s">
        <v>123</v>
      </c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32">
        <f>O78+O71+O69+O64+O53+O37+O31+O21+O68+O23+O22</f>
        <v>22.477893821606497</v>
      </c>
      <c r="P80" s="32">
        <f>P78+P71+P69+P64+P53+P37+P31+P21+P68+P23+P22</f>
        <v>25.226558729775235</v>
      </c>
    </row>
    <row r="81" spans="1:16" ht="15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</row>
    <row r="82" spans="1:16" ht="15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spans="1:16" ht="15" x14ac:dyDescent="0.25">
      <c r="A83" s="14" t="s">
        <v>93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spans="1:16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x14ac:dyDescent="0.2">
      <c r="A85" s="202"/>
      <c r="B85" s="202"/>
      <c r="C85" s="202"/>
      <c r="D85" s="7"/>
      <c r="E85" s="7"/>
      <c r="F85" s="7"/>
      <c r="G85" s="7"/>
      <c r="H85" s="7"/>
      <c r="I85" s="7"/>
      <c r="J85" s="7"/>
      <c r="K85" s="7"/>
      <c r="L85" s="7"/>
      <c r="M85" s="202"/>
      <c r="N85" s="202"/>
      <c r="O85" s="202"/>
      <c r="P85" s="1"/>
    </row>
  </sheetData>
  <mergeCells count="114">
    <mergeCell ref="A2:P2"/>
    <mergeCell ref="A3:P3"/>
    <mergeCell ref="A4:D4"/>
    <mergeCell ref="A6:A9"/>
    <mergeCell ref="B6:B8"/>
    <mergeCell ref="C6:C8"/>
    <mergeCell ref="D6:D8"/>
    <mergeCell ref="E6:E7"/>
    <mergeCell ref="F6:F7"/>
    <mergeCell ref="G6:G7"/>
    <mergeCell ref="N6:N8"/>
    <mergeCell ref="O6:O8"/>
    <mergeCell ref="P6:P8"/>
    <mergeCell ref="A5:P5"/>
    <mergeCell ref="A10:O10"/>
    <mergeCell ref="A18:O18"/>
    <mergeCell ref="D22:K22"/>
    <mergeCell ref="H6:H7"/>
    <mergeCell ref="I6:I7"/>
    <mergeCell ref="J6:J8"/>
    <mergeCell ref="K6:K7"/>
    <mergeCell ref="L6:L8"/>
    <mergeCell ref="M6:M7"/>
    <mergeCell ref="D23:K23"/>
    <mergeCell ref="A25:A28"/>
    <mergeCell ref="B25:B27"/>
    <mergeCell ref="C25:C27"/>
    <mergeCell ref="D25:D27"/>
    <mergeCell ref="E25:E26"/>
    <mergeCell ref="F25:F26"/>
    <mergeCell ref="G25:G26"/>
    <mergeCell ref="H25:H26"/>
    <mergeCell ref="I25:I26"/>
    <mergeCell ref="P25:P27"/>
    <mergeCell ref="A32:O32"/>
    <mergeCell ref="A33:A36"/>
    <mergeCell ref="B33:B35"/>
    <mergeCell ref="C33:C35"/>
    <mergeCell ref="D33:D35"/>
    <mergeCell ref="E33:E34"/>
    <mergeCell ref="F33:F34"/>
    <mergeCell ref="G33:G34"/>
    <mergeCell ref="H33:H34"/>
    <mergeCell ref="J25:J27"/>
    <mergeCell ref="K25:K26"/>
    <mergeCell ref="L25:L27"/>
    <mergeCell ref="M25:M26"/>
    <mergeCell ref="N25:N27"/>
    <mergeCell ref="O25:O27"/>
    <mergeCell ref="O33:O35"/>
    <mergeCell ref="P33:P35"/>
    <mergeCell ref="A38:O38"/>
    <mergeCell ref="A39:O39"/>
    <mergeCell ref="B40:C40"/>
    <mergeCell ref="B41:C41"/>
    <mergeCell ref="I33:I34"/>
    <mergeCell ref="J33:J35"/>
    <mergeCell ref="K33:K34"/>
    <mergeCell ref="L33:L35"/>
    <mergeCell ref="M33:M34"/>
    <mergeCell ref="N33:N35"/>
    <mergeCell ref="B48:C48"/>
    <mergeCell ref="A49:O49"/>
    <mergeCell ref="B50:C50"/>
    <mergeCell ref="B51:C51"/>
    <mergeCell ref="B52:C52"/>
    <mergeCell ref="B53:C53"/>
    <mergeCell ref="B42:C42"/>
    <mergeCell ref="A43:O43"/>
    <mergeCell ref="B44:C44"/>
    <mergeCell ref="B45:C45"/>
    <mergeCell ref="B46:C46"/>
    <mergeCell ref="B47:C47"/>
    <mergeCell ref="A54:O54"/>
    <mergeCell ref="B55:C55"/>
    <mergeCell ref="B56:C56"/>
    <mergeCell ref="B57:C57"/>
    <mergeCell ref="B58:C58"/>
    <mergeCell ref="B59:C59"/>
    <mergeCell ref="D59:D62"/>
    <mergeCell ref="E59:E62"/>
    <mergeCell ref="F59:F62"/>
    <mergeCell ref="G59:G62"/>
    <mergeCell ref="B63:C63"/>
    <mergeCell ref="B64:C64"/>
    <mergeCell ref="A65:P65"/>
    <mergeCell ref="A66:C66"/>
    <mergeCell ref="A67:C67"/>
    <mergeCell ref="A68:C68"/>
    <mergeCell ref="N59:N62"/>
    <mergeCell ref="O59:O62"/>
    <mergeCell ref="P59:P62"/>
    <mergeCell ref="B60:C60"/>
    <mergeCell ref="B61:C61"/>
    <mergeCell ref="B62:C62"/>
    <mergeCell ref="H59:H62"/>
    <mergeCell ref="I59:I62"/>
    <mergeCell ref="J59:J62"/>
    <mergeCell ref="K59:K62"/>
    <mergeCell ref="L59:L62"/>
    <mergeCell ref="M59:M62"/>
    <mergeCell ref="A75:C75"/>
    <mergeCell ref="A76:C76"/>
    <mergeCell ref="A77:C77"/>
    <mergeCell ref="A78:N78"/>
    <mergeCell ref="A80:N80"/>
    <mergeCell ref="A85:C85"/>
    <mergeCell ref="M85:O85"/>
    <mergeCell ref="A69:C69"/>
    <mergeCell ref="A70:O70"/>
    <mergeCell ref="A71:C71"/>
    <mergeCell ref="A72:O72"/>
    <mergeCell ref="A73:P73"/>
    <mergeCell ref="A74:C74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7"/>
  <sheetViews>
    <sheetView zoomScale="170" zoomScaleNormal="170" workbookViewId="0">
      <selection activeCell="Q13" sqref="Q13"/>
    </sheetView>
  </sheetViews>
  <sheetFormatPr defaultColWidth="9.140625" defaultRowHeight="12.75" x14ac:dyDescent="0.2"/>
  <cols>
    <col min="1" max="1" width="71.7109375" style="2" customWidth="1"/>
    <col min="2" max="3" width="6.7109375" style="2" hidden="1" customWidth="1"/>
    <col min="4" max="4" width="6" style="2" hidden="1" customWidth="1"/>
    <col min="5" max="5" width="9.140625" style="2" hidden="1" customWidth="1"/>
    <col min="6" max="6" width="9.5703125" style="2" hidden="1" customWidth="1"/>
    <col min="7" max="9" width="9.140625" style="2" hidden="1" customWidth="1"/>
    <col min="10" max="10" width="10.28515625" style="2" hidden="1" customWidth="1"/>
    <col min="11" max="11" width="9.140625" style="2" hidden="1" customWidth="1"/>
    <col min="12" max="12" width="9.7109375" style="2" hidden="1" customWidth="1"/>
    <col min="13" max="13" width="8.5703125" style="2" hidden="1" customWidth="1"/>
    <col min="14" max="14" width="9.85546875" style="2" hidden="1" customWidth="1"/>
    <col min="15" max="15" width="15.5703125" style="2" hidden="1" customWidth="1"/>
    <col min="16" max="16" width="15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4.25" hidden="1" x14ac:dyDescent="0.2">
      <c r="A4" s="69" t="s">
        <v>0</v>
      </c>
      <c r="B4" s="15"/>
      <c r="C4" s="15"/>
      <c r="D4" s="15"/>
      <c r="E4" s="15">
        <f>'[2]2 категория '!E8</f>
        <v>19817.29</v>
      </c>
      <c r="F4" s="15" t="s">
        <v>1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4.25" x14ac:dyDescent="0.2">
      <c r="A5" s="155" t="s">
        <v>97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0.7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/>
      <c r="P6" s="16"/>
    </row>
    <row r="7" spans="1:16" x14ac:dyDescent="0.2">
      <c r="A7" s="157" t="s">
        <v>2</v>
      </c>
      <c r="B7" s="158" t="s">
        <v>3</v>
      </c>
      <c r="C7" s="158" t="s">
        <v>4</v>
      </c>
      <c r="D7" s="158" t="s">
        <v>5</v>
      </c>
      <c r="E7" s="215" t="s">
        <v>80</v>
      </c>
      <c r="F7" s="163" t="s">
        <v>7</v>
      </c>
      <c r="G7" s="165" t="s">
        <v>8</v>
      </c>
      <c r="H7" s="165" t="s">
        <v>9</v>
      </c>
      <c r="I7" s="165" t="s">
        <v>10</v>
      </c>
      <c r="J7" s="158" t="s">
        <v>11</v>
      </c>
      <c r="K7" s="158" t="s">
        <v>12</v>
      </c>
      <c r="L7" s="167" t="s">
        <v>81</v>
      </c>
      <c r="M7" s="158" t="s">
        <v>14</v>
      </c>
      <c r="N7" s="167" t="s">
        <v>15</v>
      </c>
      <c r="O7" s="141" t="s">
        <v>16</v>
      </c>
      <c r="P7" s="144" t="s">
        <v>129</v>
      </c>
    </row>
    <row r="8" spans="1:16" ht="62.25" customHeight="1" x14ac:dyDescent="0.2">
      <c r="A8" s="157"/>
      <c r="B8" s="159"/>
      <c r="C8" s="159"/>
      <c r="D8" s="159"/>
      <c r="E8" s="216"/>
      <c r="F8" s="164"/>
      <c r="G8" s="166"/>
      <c r="H8" s="177"/>
      <c r="I8" s="177"/>
      <c r="J8" s="159"/>
      <c r="K8" s="159"/>
      <c r="L8" s="168"/>
      <c r="M8" s="159"/>
      <c r="N8" s="168"/>
      <c r="O8" s="142"/>
      <c r="P8" s="144"/>
    </row>
    <row r="9" spans="1:16" ht="15" hidden="1" x14ac:dyDescent="0.2">
      <c r="A9" s="157"/>
      <c r="B9" s="160"/>
      <c r="C9" s="160"/>
      <c r="D9" s="160"/>
      <c r="E9" s="70">
        <v>12792</v>
      </c>
      <c r="F9" s="19">
        <v>0.30280000000000001</v>
      </c>
      <c r="G9" s="50">
        <v>2.2599999999999999E-2</v>
      </c>
      <c r="H9" s="21">
        <v>2.7E-2</v>
      </c>
      <c r="I9" s="21">
        <v>0.47499999999999998</v>
      </c>
      <c r="J9" s="160"/>
      <c r="K9" s="22">
        <v>3.0000000000000001E-3</v>
      </c>
      <c r="L9" s="169"/>
      <c r="M9" s="23">
        <v>0.2</v>
      </c>
      <c r="N9" s="169"/>
      <c r="O9" s="143"/>
      <c r="P9" s="144"/>
    </row>
    <row r="10" spans="1:16" ht="14.25" hidden="1" x14ac:dyDescent="0.2">
      <c r="A10" s="157"/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14</v>
      </c>
    </row>
    <row r="11" spans="1:16" ht="20.100000000000001" customHeight="1" x14ac:dyDescent="0.25">
      <c r="A11" s="170" t="s">
        <v>17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71"/>
    </row>
    <row r="12" spans="1:16" ht="34.5" customHeight="1" x14ac:dyDescent="0.2">
      <c r="A12" s="26" t="s">
        <v>106</v>
      </c>
      <c r="B12" s="27" t="s">
        <v>18</v>
      </c>
      <c r="C12" s="27" t="s">
        <v>18</v>
      </c>
      <c r="D12" s="27">
        <f>SUM(D13:D15)</f>
        <v>1.2773907910271547</v>
      </c>
      <c r="E12" s="27">
        <f t="shared" ref="E12:O12" si="0">SUM(E13:E15)</f>
        <v>196084.59598583236</v>
      </c>
      <c r="F12" s="27">
        <f t="shared" si="0"/>
        <v>59374.415664510037</v>
      </c>
      <c r="G12" s="27">
        <f t="shared" si="0"/>
        <v>4431.5118692798105</v>
      </c>
      <c r="H12" s="27">
        <f t="shared" si="0"/>
        <v>5294.2840916174737</v>
      </c>
      <c r="I12" s="27">
        <f t="shared" si="0"/>
        <v>93140.183093270374</v>
      </c>
      <c r="J12" s="27">
        <f t="shared" si="0"/>
        <v>358324.99070451007</v>
      </c>
      <c r="K12" s="27">
        <f t="shared" si="0"/>
        <v>1074.9749721135302</v>
      </c>
      <c r="L12" s="27">
        <f t="shared" si="0"/>
        <v>359399.96567662363</v>
      </c>
      <c r="M12" s="27">
        <f t="shared" si="0"/>
        <v>71879.993135324738</v>
      </c>
      <c r="N12" s="27">
        <f t="shared" si="0"/>
        <v>431279.95881194831</v>
      </c>
      <c r="O12" s="27">
        <f t="shared" si="0"/>
        <v>1.8135676758861761</v>
      </c>
      <c r="P12" s="27">
        <v>2.0499999999999998</v>
      </c>
    </row>
    <row r="13" spans="1:16" ht="20.100000000000001" customHeight="1" x14ac:dyDescent="0.25">
      <c r="A13" s="28" t="s">
        <v>19</v>
      </c>
      <c r="B13" s="29">
        <f>'[2]2 категория '!S8</f>
        <v>585</v>
      </c>
      <c r="C13" s="29">
        <v>3630</v>
      </c>
      <c r="D13" s="72">
        <f>B13/C13</f>
        <v>0.16115702479338842</v>
      </c>
      <c r="E13" s="72">
        <f>D13*$E$9*12</f>
        <v>24738.247933884297</v>
      </c>
      <c r="F13" s="31">
        <f>E13*$F$9</f>
        <v>7490.7414743801655</v>
      </c>
      <c r="G13" s="31">
        <f>E13*$G$9</f>
        <v>559.08440330578503</v>
      </c>
      <c r="H13" s="31">
        <f>E13*$H$9</f>
        <v>667.93269421487605</v>
      </c>
      <c r="I13" s="31">
        <f>E13*$I$9</f>
        <v>11750.66776859504</v>
      </c>
      <c r="J13" s="31">
        <f>SUM(E13:I13)</f>
        <v>45206.674274380166</v>
      </c>
      <c r="K13" s="31">
        <f>J13*$K$9</f>
        <v>135.62002282314049</v>
      </c>
      <c r="L13" s="32">
        <f>SUM(J13:K13)</f>
        <v>45342.294297203305</v>
      </c>
      <c r="M13" s="31">
        <f>L13*$M$9</f>
        <v>9068.4588594406614</v>
      </c>
      <c r="N13" s="32">
        <f>SUM(L13:M13)</f>
        <v>54410.753156643965</v>
      </c>
      <c r="O13" s="31">
        <f>N13/$E$4/12</f>
        <v>0.2288016893187883</v>
      </c>
      <c r="P13" s="27">
        <f>(0.24*1.05)*1.045</f>
        <v>0.26333999999999996</v>
      </c>
    </row>
    <row r="14" spans="1:16" ht="20.100000000000001" customHeight="1" x14ac:dyDescent="0.25">
      <c r="A14" s="28" t="s">
        <v>20</v>
      </c>
      <c r="B14" s="29">
        <f>'[2]2 категория '!T8</f>
        <v>3438</v>
      </c>
      <c r="C14" s="29">
        <v>3080</v>
      </c>
      <c r="D14" s="72">
        <f>B14/C14</f>
        <v>1.1162337662337662</v>
      </c>
      <c r="E14" s="72">
        <f>D14*$E$9*12</f>
        <v>171346.34805194807</v>
      </c>
      <c r="F14" s="31">
        <f t="shared" ref="F14:F15" si="1">E14*$F$9</f>
        <v>51883.674190129874</v>
      </c>
      <c r="G14" s="31">
        <f t="shared" ref="G14:G15" si="2">E14*$G$9</f>
        <v>3872.4274659740258</v>
      </c>
      <c r="H14" s="31">
        <f t="shared" ref="H14:H15" si="3">E14*$H$9</f>
        <v>4626.3513974025973</v>
      </c>
      <c r="I14" s="31">
        <f t="shared" ref="I14:I15" si="4">E14*$I$9</f>
        <v>81389.515324675333</v>
      </c>
      <c r="J14" s="31">
        <f t="shared" ref="J14:J15" si="5">SUM(E14:I14)</f>
        <v>313118.31643012993</v>
      </c>
      <c r="K14" s="31">
        <f t="shared" ref="K14:K15" si="6">J14*$K$9</f>
        <v>939.35494929038975</v>
      </c>
      <c r="L14" s="32">
        <f t="shared" ref="L14:L15" si="7">SUM(J14:K14)</f>
        <v>314057.67137942032</v>
      </c>
      <c r="M14" s="31">
        <f t="shared" ref="M14:M15" si="8">L14*$M$9</f>
        <v>62811.534275884071</v>
      </c>
      <c r="N14" s="32">
        <f t="shared" ref="N14:N15" si="9">SUM(L14:M14)</f>
        <v>376869.20565530437</v>
      </c>
      <c r="O14" s="31">
        <f>N14/$E$4/12</f>
        <v>1.5847659865673878</v>
      </c>
      <c r="P14" s="27">
        <f>(1.63*1.055)*1.045</f>
        <v>1.7970342499999996</v>
      </c>
    </row>
    <row r="15" spans="1:16" ht="20.100000000000001" customHeight="1" x14ac:dyDescent="0.25">
      <c r="A15" s="28" t="s">
        <v>21</v>
      </c>
      <c r="B15" s="29">
        <f>'[2]2 категория '!U8</f>
        <v>0</v>
      </c>
      <c r="C15" s="29">
        <v>2500</v>
      </c>
      <c r="D15" s="72">
        <f t="shared" ref="D15" si="10">B15/C15</f>
        <v>0</v>
      </c>
      <c r="E15" s="72">
        <f>D15*$E$9*12</f>
        <v>0</v>
      </c>
      <c r="F15" s="31">
        <f t="shared" si="1"/>
        <v>0</v>
      </c>
      <c r="G15" s="31">
        <f t="shared" si="2"/>
        <v>0</v>
      </c>
      <c r="H15" s="31">
        <f t="shared" si="3"/>
        <v>0</v>
      </c>
      <c r="I15" s="31">
        <f t="shared" si="4"/>
        <v>0</v>
      </c>
      <c r="J15" s="31">
        <f t="shared" si="5"/>
        <v>0</v>
      </c>
      <c r="K15" s="31">
        <f t="shared" si="6"/>
        <v>0</v>
      </c>
      <c r="L15" s="32">
        <f t="shared" si="7"/>
        <v>0</v>
      </c>
      <c r="M15" s="31">
        <f t="shared" si="8"/>
        <v>0</v>
      </c>
      <c r="N15" s="32">
        <f t="shared" si="9"/>
        <v>0</v>
      </c>
      <c r="O15" s="31">
        <f>N15/$E$4/12</f>
        <v>0</v>
      </c>
      <c r="P15" s="31">
        <f>(O15*1.04)*1.055</f>
        <v>0</v>
      </c>
    </row>
    <row r="16" spans="1:16" ht="20.100000000000001" customHeight="1" x14ac:dyDescent="0.25">
      <c r="A16" s="26" t="s">
        <v>98</v>
      </c>
      <c r="B16" s="29">
        <f>'[2]2 категория '!Q8</f>
        <v>3274</v>
      </c>
      <c r="C16" s="29">
        <v>30000</v>
      </c>
      <c r="D16" s="31">
        <f>B16/C16</f>
        <v>0.10913333333333333</v>
      </c>
      <c r="E16" s="72">
        <f>$E$9*D16*12</f>
        <v>16752.403200000001</v>
      </c>
      <c r="F16" s="31">
        <f>E16*$F$9</f>
        <v>5072.6276889600003</v>
      </c>
      <c r="G16" s="31">
        <f>E16*$G$9</f>
        <v>378.60431231999996</v>
      </c>
      <c r="H16" s="31">
        <f>E16*$H$9</f>
        <v>452.31488640000003</v>
      </c>
      <c r="I16" s="31">
        <f>E16*$I$9</f>
        <v>7957.3915200000001</v>
      </c>
      <c r="J16" s="31">
        <f>E16+F16+G16+H16+I16</f>
        <v>30613.341607680002</v>
      </c>
      <c r="K16" s="31">
        <f>J16*$K$9</f>
        <v>91.840024823040011</v>
      </c>
      <c r="L16" s="32">
        <f>J16+K16</f>
        <v>30705.181632503041</v>
      </c>
      <c r="M16" s="31">
        <f>L16*$M$9</f>
        <v>6141.036326500609</v>
      </c>
      <c r="N16" s="32">
        <f>L16+M16</f>
        <v>36846.217959003654</v>
      </c>
      <c r="O16" s="31">
        <f>N16/$E$4/12</f>
        <v>0.15494137509469277</v>
      </c>
      <c r="P16" s="31">
        <f>((O16*1.04)*1.055)*1.045</f>
        <v>0.17765175220782226</v>
      </c>
    </row>
    <row r="17" spans="1:16" ht="48.75" customHeight="1" x14ac:dyDescent="0.25">
      <c r="A17" s="28" t="s">
        <v>108</v>
      </c>
      <c r="B17" s="29">
        <f>'[2]2 категория '!R8</f>
        <v>3158</v>
      </c>
      <c r="C17" s="29">
        <v>10000</v>
      </c>
      <c r="D17" s="31">
        <f>B17/C17</f>
        <v>0.31580000000000003</v>
      </c>
      <c r="E17" s="72">
        <f>$E$9*D17*12</f>
        <v>48476.563200000004</v>
      </c>
      <c r="F17" s="31">
        <f>E17*$F$9</f>
        <v>14678.703336960001</v>
      </c>
      <c r="G17" s="31">
        <f>E17*$G$9</f>
        <v>1095.57032832</v>
      </c>
      <c r="H17" s="31">
        <f>E17*$H$9</f>
        <v>1308.8672064</v>
      </c>
      <c r="I17" s="31">
        <f>E17*$I$9</f>
        <v>23026.36752</v>
      </c>
      <c r="J17" s="31">
        <f>E17+F17+G17+H17+I17</f>
        <v>88586.071591680011</v>
      </c>
      <c r="K17" s="31">
        <f>J17*$K$9</f>
        <v>265.75821477504002</v>
      </c>
      <c r="L17" s="32">
        <f>J17+K17</f>
        <v>88851.829806455047</v>
      </c>
      <c r="M17" s="31">
        <f>L17*$M$9</f>
        <v>17770.365961291009</v>
      </c>
      <c r="N17" s="32">
        <f>L17+M17</f>
        <v>106622.19576774606</v>
      </c>
      <c r="O17" s="31">
        <f>N17/$E$4/12</f>
        <v>0.44835509702111159</v>
      </c>
      <c r="P17" s="31">
        <f>((O17*1.04)*1.055)*1.45</f>
        <v>0.71330605805476721</v>
      </c>
    </row>
    <row r="18" spans="1:16" ht="20.100000000000001" customHeight="1" x14ac:dyDescent="0.2">
      <c r="A18" s="33" t="s">
        <v>22</v>
      </c>
      <c r="B18" s="32"/>
      <c r="C18" s="32"/>
      <c r="D18" s="32">
        <f>SUM(D13:D17)</f>
        <v>1.7023241243604881</v>
      </c>
      <c r="E18" s="73">
        <f>SUM(E13:E17)</f>
        <v>261313.56238583237</v>
      </c>
      <c r="F18" s="73">
        <f t="shared" ref="F18:N18" si="11">SUM(F13:F17)</f>
        <v>79125.746690430038</v>
      </c>
      <c r="G18" s="73">
        <f t="shared" si="11"/>
        <v>5905.6865099198103</v>
      </c>
      <c r="H18" s="73">
        <f t="shared" si="11"/>
        <v>7055.4661844174743</v>
      </c>
      <c r="I18" s="73">
        <f t="shared" si="11"/>
        <v>124123.94213327038</v>
      </c>
      <c r="J18" s="73">
        <f t="shared" si="11"/>
        <v>477524.40390387009</v>
      </c>
      <c r="K18" s="73">
        <f t="shared" si="11"/>
        <v>1432.5732117116102</v>
      </c>
      <c r="L18" s="73">
        <f t="shared" si="11"/>
        <v>478956.97711558174</v>
      </c>
      <c r="M18" s="73">
        <f t="shared" si="11"/>
        <v>95791.395423116366</v>
      </c>
      <c r="N18" s="73">
        <f t="shared" si="11"/>
        <v>574748.37253869802</v>
      </c>
      <c r="O18" s="32">
        <f>SUM(O12:O17)</f>
        <v>4.2304318238881562</v>
      </c>
      <c r="P18" s="27">
        <f>P13+P14+P16+P17</f>
        <v>2.9513320602625894</v>
      </c>
    </row>
    <row r="19" spans="1:16" ht="20.100000000000001" customHeight="1" x14ac:dyDescent="0.2">
      <c r="A19" s="172" t="s">
        <v>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27"/>
    </row>
    <row r="20" spans="1:16" ht="48.75" customHeight="1" x14ac:dyDescent="0.25">
      <c r="A20" s="28" t="s">
        <v>24</v>
      </c>
      <c r="B20" s="29">
        <f>'[2]2 категория '!I8</f>
        <v>3324.4</v>
      </c>
      <c r="C20" s="29">
        <f>B20/D20</f>
        <v>1178.8652482269504</v>
      </c>
      <c r="D20" s="32">
        <v>2.82</v>
      </c>
      <c r="E20" s="72">
        <f>E9*D20*12</f>
        <v>432881.27999999991</v>
      </c>
      <c r="F20" s="31">
        <f>E20*F9</f>
        <v>131076.45158399997</v>
      </c>
      <c r="G20" s="31">
        <f>E20*G9</f>
        <v>9783.1169279999976</v>
      </c>
      <c r="H20" s="31">
        <f>E20*H9</f>
        <v>11687.794559999997</v>
      </c>
      <c r="I20" s="31">
        <f>E20*I9</f>
        <v>205618.60799999995</v>
      </c>
      <c r="J20" s="31">
        <f>E20+F20+G20+H20+I20</f>
        <v>791047.25107199978</v>
      </c>
      <c r="K20" s="31">
        <f>J20*K9</f>
        <v>2373.1417532159994</v>
      </c>
      <c r="L20" s="31">
        <f>J20+K20</f>
        <v>793420.39282521582</v>
      </c>
      <c r="M20" s="31">
        <f>L20*M9</f>
        <v>158684.07856504316</v>
      </c>
      <c r="N20" s="32">
        <f>L20+M20</f>
        <v>952104.47139025899</v>
      </c>
      <c r="O20" s="31">
        <f>N20/$E$4/12</f>
        <v>4.0036775604798427</v>
      </c>
      <c r="P20" s="31">
        <f>((O20*1.04)*1.055)*1.045</f>
        <v>4.5905125952296153</v>
      </c>
    </row>
    <row r="21" spans="1:16" ht="20.100000000000001" customHeight="1" x14ac:dyDescent="0.2">
      <c r="A21" s="33" t="s">
        <v>26</v>
      </c>
      <c r="B21" s="36"/>
      <c r="C21" s="36"/>
      <c r="D21" s="36"/>
      <c r="E21" s="73">
        <f>E18+E20</f>
        <v>694194.84238583222</v>
      </c>
      <c r="F21" s="73">
        <f t="shared" ref="F21:O21" si="12">F18+F20</f>
        <v>210202.19827443</v>
      </c>
      <c r="G21" s="73">
        <f t="shared" si="12"/>
        <v>15688.803437919807</v>
      </c>
      <c r="H21" s="73">
        <f t="shared" si="12"/>
        <v>18743.260744417472</v>
      </c>
      <c r="I21" s="73">
        <f t="shared" si="12"/>
        <v>329742.55013327033</v>
      </c>
      <c r="J21" s="73">
        <f t="shared" si="12"/>
        <v>1268571.6549758699</v>
      </c>
      <c r="K21" s="73">
        <f t="shared" si="12"/>
        <v>3805.7149649276098</v>
      </c>
      <c r="L21" s="73">
        <f t="shared" si="12"/>
        <v>1272377.3699407976</v>
      </c>
      <c r="M21" s="73">
        <f t="shared" si="12"/>
        <v>254475.47398815953</v>
      </c>
      <c r="N21" s="73">
        <f t="shared" si="12"/>
        <v>1526852.8439289569</v>
      </c>
      <c r="O21" s="73">
        <f t="shared" si="12"/>
        <v>8.2341093843679989</v>
      </c>
      <c r="P21" s="27">
        <f>P20+P18+P12</f>
        <v>9.5918446554922046</v>
      </c>
    </row>
    <row r="22" spans="1:16" ht="20.100000000000001" customHeight="1" x14ac:dyDescent="0.25">
      <c r="A22" s="33" t="s">
        <v>27</v>
      </c>
      <c r="B22" s="37" t="s">
        <v>30</v>
      </c>
      <c r="C22" s="38">
        <f>'[2]2 категория '!W8</f>
        <v>2633</v>
      </c>
      <c r="D22" s="174"/>
      <c r="E22" s="175"/>
      <c r="F22" s="175"/>
      <c r="G22" s="175"/>
      <c r="H22" s="175"/>
      <c r="I22" s="175"/>
      <c r="J22" s="175"/>
      <c r="K22" s="176"/>
      <c r="L22" s="74">
        <f>'[2]2 категория '!X8</f>
        <v>1316.5</v>
      </c>
      <c r="M22" s="74">
        <f>L22*0.2</f>
        <v>263.3</v>
      </c>
      <c r="N22" s="74">
        <f>SUM(L22:M22)</f>
        <v>1579.8</v>
      </c>
      <c r="O22" s="75">
        <f>N22/E4/12</f>
        <v>6.6431888517552093E-3</v>
      </c>
      <c r="P22" s="31">
        <f>((O22*1.04)*1.055)*1.045</f>
        <v>7.6169076145123768E-3</v>
      </c>
    </row>
    <row r="23" spans="1:16" ht="20.100000000000001" customHeight="1" x14ac:dyDescent="0.25">
      <c r="A23" s="33" t="s">
        <v>29</v>
      </c>
      <c r="B23" s="37" t="s">
        <v>30</v>
      </c>
      <c r="C23" s="38">
        <f>'[2]2 категория '!W8</f>
        <v>2633</v>
      </c>
      <c r="D23" s="174"/>
      <c r="E23" s="175"/>
      <c r="F23" s="175"/>
      <c r="G23" s="175"/>
      <c r="H23" s="175"/>
      <c r="I23" s="175"/>
      <c r="J23" s="175"/>
      <c r="K23" s="176"/>
      <c r="L23" s="74">
        <f>'[2]2 категория '!Y8</f>
        <v>6100</v>
      </c>
      <c r="M23" s="74">
        <f>L23*0.2</f>
        <v>1220</v>
      </c>
      <c r="N23" s="74">
        <f>SUM(L23:M23)</f>
        <v>7320</v>
      </c>
      <c r="O23" s="75">
        <f>N23/E4/12</f>
        <v>3.078120166783652E-2</v>
      </c>
      <c r="P23" s="31">
        <f>((O23*1.04)*1.055)*1.045</f>
        <v>3.5292925521097987E-2</v>
      </c>
    </row>
    <row r="24" spans="1:16" ht="20.100000000000001" customHeight="1" x14ac:dyDescent="0.3">
      <c r="A24" s="39"/>
      <c r="B24" s="40"/>
      <c r="C24" s="40"/>
      <c r="D24" s="40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7"/>
    </row>
    <row r="25" spans="1:16" ht="15" hidden="1" customHeight="1" x14ac:dyDescent="0.3">
      <c r="A25" s="39"/>
      <c r="B25" s="40"/>
      <c r="C25" s="40"/>
      <c r="D25" s="40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7"/>
    </row>
    <row r="26" spans="1:16" ht="15" hidden="1" customHeight="1" x14ac:dyDescent="0.25">
      <c r="A26" s="157" t="s">
        <v>2</v>
      </c>
      <c r="B26" s="185" t="s">
        <v>3</v>
      </c>
      <c r="C26" s="185" t="s">
        <v>4</v>
      </c>
      <c r="D26" s="186" t="s">
        <v>5</v>
      </c>
      <c r="E26" s="215" t="s">
        <v>31</v>
      </c>
      <c r="F26" s="141" t="s">
        <v>7</v>
      </c>
      <c r="G26" s="158" t="s">
        <v>8</v>
      </c>
      <c r="H26" s="158" t="s">
        <v>9</v>
      </c>
      <c r="I26" s="158" t="s">
        <v>32</v>
      </c>
      <c r="J26" s="183" t="s">
        <v>11</v>
      </c>
      <c r="K26" s="158" t="s">
        <v>12</v>
      </c>
      <c r="L26" s="184" t="s">
        <v>82</v>
      </c>
      <c r="M26" s="158" t="s">
        <v>14</v>
      </c>
      <c r="N26" s="178" t="s">
        <v>15</v>
      </c>
      <c r="O26" s="144" t="s">
        <v>16</v>
      </c>
      <c r="P26" s="144" t="s">
        <v>16</v>
      </c>
    </row>
    <row r="27" spans="1:16" ht="15" hidden="1" customHeight="1" x14ac:dyDescent="0.25">
      <c r="A27" s="157"/>
      <c r="B27" s="185"/>
      <c r="C27" s="185"/>
      <c r="D27" s="186"/>
      <c r="E27" s="216"/>
      <c r="F27" s="142"/>
      <c r="G27" s="182"/>
      <c r="H27" s="159"/>
      <c r="I27" s="159"/>
      <c r="J27" s="183"/>
      <c r="K27" s="159"/>
      <c r="L27" s="184"/>
      <c r="M27" s="159"/>
      <c r="N27" s="178"/>
      <c r="O27" s="144"/>
      <c r="P27" s="144"/>
    </row>
    <row r="28" spans="1:16" ht="15" hidden="1" customHeight="1" x14ac:dyDescent="0.25">
      <c r="A28" s="157"/>
      <c r="B28" s="185"/>
      <c r="C28" s="185"/>
      <c r="D28" s="186"/>
      <c r="E28" s="78">
        <v>15724</v>
      </c>
      <c r="F28" s="44">
        <v>0.30280000000000001</v>
      </c>
      <c r="G28" s="45">
        <v>2.2599999999999999E-2</v>
      </c>
      <c r="H28" s="22">
        <v>2.7E-2</v>
      </c>
      <c r="I28" s="22">
        <v>0.47499999999999998</v>
      </c>
      <c r="J28" s="183"/>
      <c r="K28" s="22">
        <v>3.0000000000000001E-3</v>
      </c>
      <c r="L28" s="184"/>
      <c r="M28" s="23">
        <v>0.2</v>
      </c>
      <c r="N28" s="178"/>
      <c r="O28" s="144"/>
      <c r="P28" s="144"/>
    </row>
    <row r="29" spans="1:16" ht="15" hidden="1" customHeight="1" x14ac:dyDescent="0.2">
      <c r="A29" s="157"/>
      <c r="B29" s="46">
        <v>1</v>
      </c>
      <c r="C29" s="46">
        <v>2</v>
      </c>
      <c r="D29" s="46">
        <v>3</v>
      </c>
      <c r="E29" s="46">
        <v>4</v>
      </c>
      <c r="F29" s="46">
        <v>5</v>
      </c>
      <c r="G29" s="46">
        <v>6</v>
      </c>
      <c r="H29" s="46">
        <v>7</v>
      </c>
      <c r="I29" s="46">
        <v>8</v>
      </c>
      <c r="J29" s="46">
        <v>9</v>
      </c>
      <c r="K29" s="47">
        <v>10</v>
      </c>
      <c r="L29" s="46">
        <v>11</v>
      </c>
      <c r="M29" s="47">
        <v>12</v>
      </c>
      <c r="N29" s="46">
        <v>13</v>
      </c>
      <c r="O29" s="46">
        <v>14</v>
      </c>
      <c r="P29" s="46">
        <v>14</v>
      </c>
    </row>
    <row r="30" spans="1:16" ht="20.100000000000001" customHeight="1" x14ac:dyDescent="0.25">
      <c r="A30" s="26" t="s">
        <v>114</v>
      </c>
      <c r="B30" s="29">
        <f>'[2]2 категория '!H8</f>
        <v>808</v>
      </c>
      <c r="C30" s="29">
        <v>2504</v>
      </c>
      <c r="D30" s="31">
        <f>B30/C30*0.2</f>
        <v>6.4536741214057503E-2</v>
      </c>
      <c r="E30" s="72">
        <f>D30*$E$28*12</f>
        <v>12177.308626198082</v>
      </c>
      <c r="F30" s="31">
        <f>E30*$F$28</f>
        <v>3687.2890520127794</v>
      </c>
      <c r="G30" s="31">
        <f>E30*$G$28</f>
        <v>275.20717495207663</v>
      </c>
      <c r="H30" s="31">
        <f>E30*$H$28</f>
        <v>328.78733290734823</v>
      </c>
      <c r="I30" s="31">
        <f>E30*$I$28</f>
        <v>5784.2215974440887</v>
      </c>
      <c r="J30" s="31">
        <f>SUM(E30:I30)</f>
        <v>22252.813783514375</v>
      </c>
      <c r="K30" s="31">
        <f>J30*$K$28</f>
        <v>66.758441350543123</v>
      </c>
      <c r="L30" s="31">
        <f>SUM(J30:K30)</f>
        <v>22319.572224864918</v>
      </c>
      <c r="M30" s="31">
        <f>L30*$M$28</f>
        <v>4463.9144449729838</v>
      </c>
      <c r="N30" s="31">
        <f>SUM(L30:M30)</f>
        <v>26783.486669837901</v>
      </c>
      <c r="O30" s="31">
        <f>N30/$E$4/12</f>
        <v>0.11262676291695239</v>
      </c>
      <c r="P30" s="31">
        <f>((O30*1.04)*1.055)*1.045</f>
        <v>0.12913491806474175</v>
      </c>
    </row>
    <row r="31" spans="1:16" ht="20.100000000000001" customHeight="1" x14ac:dyDescent="0.25">
      <c r="A31" s="26" t="s">
        <v>116</v>
      </c>
      <c r="B31" s="48">
        <f>'[2]2 категория '!G8</f>
        <v>0</v>
      </c>
      <c r="C31" s="29">
        <v>2504</v>
      </c>
      <c r="D31" s="31">
        <f>B31/C31*0.59*4</f>
        <v>0</v>
      </c>
      <c r="E31" s="72">
        <f>D31*$E$28*12</f>
        <v>0</v>
      </c>
      <c r="F31" s="31">
        <f>E31*$F$28</f>
        <v>0</v>
      </c>
      <c r="G31" s="31">
        <f>E31*$G$28</f>
        <v>0</v>
      </c>
      <c r="H31" s="31">
        <f>E31*$H$28</f>
        <v>0</v>
      </c>
      <c r="I31" s="31">
        <f>E31*$I$28</f>
        <v>0</v>
      </c>
      <c r="J31" s="31">
        <f>SUM(E31:I31)</f>
        <v>0</v>
      </c>
      <c r="K31" s="31">
        <f>J31*$K$28</f>
        <v>0</v>
      </c>
      <c r="L31" s="31">
        <f>SUM(J31:K31)</f>
        <v>0</v>
      </c>
      <c r="M31" s="31">
        <f>L31*$M$28</f>
        <v>0</v>
      </c>
      <c r="N31" s="31">
        <f>SUM(L31:M31)</f>
        <v>0</v>
      </c>
      <c r="O31" s="31">
        <f>N31/$E$4/12</f>
        <v>0</v>
      </c>
      <c r="P31" s="31">
        <f>(O31*1.04)*1.055</f>
        <v>0</v>
      </c>
    </row>
    <row r="32" spans="1:16" ht="20.100000000000001" customHeight="1" x14ac:dyDescent="0.25">
      <c r="A32" s="33" t="s">
        <v>35</v>
      </c>
      <c r="B32" s="33"/>
      <c r="C32" s="33"/>
      <c r="D32" s="134">
        <f>SUM(D30:D31)</f>
        <v>6.4536741214057503E-2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34">
        <f>SUM(O30:O31)</f>
        <v>0.11262676291695239</v>
      </c>
      <c r="P32" s="31">
        <f>((O32*1.04)*1.055)*1.045</f>
        <v>0.12913491806474175</v>
      </c>
    </row>
    <row r="33" spans="1:16" ht="20.100000000000001" customHeight="1" x14ac:dyDescent="0.25">
      <c r="A33" s="179" t="s">
        <v>36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4"/>
    </row>
    <row r="34" spans="1:16" ht="15" hidden="1" customHeight="1" x14ac:dyDescent="0.25">
      <c r="A34" s="157" t="s">
        <v>2</v>
      </c>
      <c r="B34" s="158" t="s">
        <v>3</v>
      </c>
      <c r="C34" s="158" t="s">
        <v>4</v>
      </c>
      <c r="D34" s="158" t="s">
        <v>5</v>
      </c>
      <c r="E34" s="215" t="s">
        <v>31</v>
      </c>
      <c r="F34" s="163" t="s">
        <v>7</v>
      </c>
      <c r="G34" s="165" t="s">
        <v>8</v>
      </c>
      <c r="H34" s="165" t="s">
        <v>9</v>
      </c>
      <c r="I34" s="165" t="s">
        <v>32</v>
      </c>
      <c r="J34" s="158" t="s">
        <v>11</v>
      </c>
      <c r="K34" s="158" t="s">
        <v>12</v>
      </c>
      <c r="L34" s="167" t="s">
        <v>82</v>
      </c>
      <c r="M34" s="158" t="s">
        <v>14</v>
      </c>
      <c r="N34" s="167" t="s">
        <v>15</v>
      </c>
      <c r="O34" s="141" t="s">
        <v>16</v>
      </c>
      <c r="P34" s="141" t="s">
        <v>16</v>
      </c>
    </row>
    <row r="35" spans="1:16" ht="15" hidden="1" customHeight="1" x14ac:dyDescent="0.25">
      <c r="A35" s="157"/>
      <c r="B35" s="159"/>
      <c r="C35" s="159"/>
      <c r="D35" s="159"/>
      <c r="E35" s="216"/>
      <c r="F35" s="164"/>
      <c r="G35" s="166"/>
      <c r="H35" s="177"/>
      <c r="I35" s="177"/>
      <c r="J35" s="159"/>
      <c r="K35" s="159"/>
      <c r="L35" s="168"/>
      <c r="M35" s="159"/>
      <c r="N35" s="168"/>
      <c r="O35" s="142"/>
      <c r="P35" s="142"/>
    </row>
    <row r="36" spans="1:16" ht="15" hidden="1" customHeight="1" x14ac:dyDescent="0.25">
      <c r="A36" s="157"/>
      <c r="B36" s="160"/>
      <c r="C36" s="160"/>
      <c r="D36" s="160"/>
      <c r="E36" s="70">
        <v>15458</v>
      </c>
      <c r="F36" s="19">
        <v>0.30280000000000001</v>
      </c>
      <c r="G36" s="50">
        <v>0.19400000000000001</v>
      </c>
      <c r="H36" s="21">
        <v>0.16</v>
      </c>
      <c r="I36" s="21">
        <v>0.47499999999999998</v>
      </c>
      <c r="J36" s="160"/>
      <c r="K36" s="22">
        <v>3.0000000000000001E-3</v>
      </c>
      <c r="L36" s="169"/>
      <c r="M36" s="23">
        <v>0.2</v>
      </c>
      <c r="N36" s="169"/>
      <c r="O36" s="143"/>
      <c r="P36" s="143"/>
    </row>
    <row r="37" spans="1:16" ht="15" hidden="1" customHeight="1" x14ac:dyDescent="0.2">
      <c r="A37" s="157"/>
      <c r="B37" s="24">
        <v>1</v>
      </c>
      <c r="C37" s="24">
        <v>2</v>
      </c>
      <c r="D37" s="24">
        <v>3</v>
      </c>
      <c r="E37" s="24">
        <v>4</v>
      </c>
      <c r="F37" s="24">
        <v>5</v>
      </c>
      <c r="G37" s="24">
        <v>6</v>
      </c>
      <c r="H37" s="24">
        <v>7</v>
      </c>
      <c r="I37" s="24">
        <v>8</v>
      </c>
      <c r="J37" s="24">
        <v>9</v>
      </c>
      <c r="K37" s="24">
        <v>10</v>
      </c>
      <c r="L37" s="24">
        <v>11</v>
      </c>
      <c r="M37" s="24">
        <v>12</v>
      </c>
      <c r="N37" s="24">
        <v>13</v>
      </c>
      <c r="O37" s="24">
        <v>14</v>
      </c>
      <c r="P37" s="24">
        <v>14</v>
      </c>
    </row>
    <row r="38" spans="1:16" ht="20.100000000000001" customHeight="1" x14ac:dyDescent="0.25">
      <c r="A38" s="51" t="s">
        <v>83</v>
      </c>
      <c r="B38" s="52" t="s">
        <v>18</v>
      </c>
      <c r="C38" s="52" t="s">
        <v>18</v>
      </c>
      <c r="D38" s="53">
        <f>('[2]2 категория '!F8*81.8%)-D54-D65-D69</f>
        <v>1.9414199999999999</v>
      </c>
      <c r="E38" s="52">
        <f>D38*$E$36*12</f>
        <v>360125.64431999996</v>
      </c>
      <c r="F38" s="52">
        <f>E38*$F$36</f>
        <v>109046.04510009599</v>
      </c>
      <c r="G38" s="52">
        <f>E38*$G$36</f>
        <v>69864.374998079991</v>
      </c>
      <c r="H38" s="52">
        <f>E38*$H$36</f>
        <v>57620.103091199999</v>
      </c>
      <c r="I38" s="52">
        <f>E38*$I$36</f>
        <v>171059.68105199997</v>
      </c>
      <c r="J38" s="52">
        <f>SUM(E38:I38)</f>
        <v>767715.84856137587</v>
      </c>
      <c r="K38" s="52">
        <f>J38*$K$36</f>
        <v>2303.1475456841276</v>
      </c>
      <c r="L38" s="52">
        <f>SUM(J38:K38)</f>
        <v>770018.99610706</v>
      </c>
      <c r="M38" s="52">
        <f>L38*$M$36</f>
        <v>154003.79922141202</v>
      </c>
      <c r="N38" s="52">
        <f>SUM(L38:M38)</f>
        <v>924022.79532847204</v>
      </c>
      <c r="O38" s="52">
        <f>N38/$E$4/12</f>
        <v>3.88559180446499</v>
      </c>
      <c r="P38" s="31">
        <f>(3.94*1.055)*1.045</f>
        <v>4.3437514999999998</v>
      </c>
    </row>
    <row r="39" spans="1:16" ht="20.100000000000001" customHeight="1" x14ac:dyDescent="0.25">
      <c r="A39" s="217" t="s">
        <v>39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34"/>
    </row>
    <row r="40" spans="1:16" ht="36.75" customHeight="1" x14ac:dyDescent="0.2">
      <c r="A40" s="190" t="s">
        <v>40</v>
      </c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211"/>
    </row>
    <row r="41" spans="1:16" ht="20.100000000000001" customHeight="1" x14ac:dyDescent="0.25">
      <c r="A41" s="55" t="s">
        <v>41</v>
      </c>
      <c r="B41" s="187" t="s">
        <v>42</v>
      </c>
      <c r="C41" s="188"/>
      <c r="D41" s="55">
        <v>0.42099999999999999</v>
      </c>
      <c r="E41" s="31">
        <f>D41*E36*12</f>
        <v>78093.816000000006</v>
      </c>
      <c r="F41" s="31">
        <f>E41*$F$36</f>
        <v>23646.807484800003</v>
      </c>
      <c r="G41" s="31">
        <f>E41*$G$36</f>
        <v>15150.200304000002</v>
      </c>
      <c r="H41" s="31">
        <f>E41*$H$36</f>
        <v>12495.010560000001</v>
      </c>
      <c r="I41" s="31">
        <f>E41*$I$36</f>
        <v>37094.562600000005</v>
      </c>
      <c r="J41" s="31">
        <f>SUM(E41:I41)</f>
        <v>166480.39694880001</v>
      </c>
      <c r="K41" s="31">
        <f>J41*$K$36</f>
        <v>499.44119084640005</v>
      </c>
      <c r="L41" s="31">
        <f>SUM(J41:K41)</f>
        <v>166979.83813964642</v>
      </c>
      <c r="M41" s="31">
        <f>L41*$M$36</f>
        <v>33395.967627929283</v>
      </c>
      <c r="N41" s="31">
        <f>SUM(L41:M41)</f>
        <v>200375.80576757572</v>
      </c>
      <c r="O41" s="134">
        <f>N41/$E$4/12</f>
        <v>0.84259673315396011</v>
      </c>
      <c r="P41" s="37">
        <v>0.95</v>
      </c>
    </row>
    <row r="42" spans="1:16" ht="20.100000000000001" customHeight="1" x14ac:dyDescent="0.25">
      <c r="A42" s="55" t="s">
        <v>43</v>
      </c>
      <c r="B42" s="187" t="s">
        <v>42</v>
      </c>
      <c r="C42" s="188"/>
      <c r="D42" s="55">
        <v>8.9999999999999993E-3</v>
      </c>
      <c r="E42" s="56">
        <f>D42*E36*12</f>
        <v>1669.4639999999999</v>
      </c>
      <c r="F42" s="56">
        <f>E42*$F$36</f>
        <v>505.51369920000002</v>
      </c>
      <c r="G42" s="56">
        <f>E42*$G$36</f>
        <v>323.87601599999999</v>
      </c>
      <c r="H42" s="56">
        <f>E42*$H$36</f>
        <v>267.11424</v>
      </c>
      <c r="I42" s="56">
        <f>E42*$I$36</f>
        <v>792.9953999999999</v>
      </c>
      <c r="J42" s="56">
        <f>SUM(E42:I42)</f>
        <v>3558.9633551999996</v>
      </c>
      <c r="K42" s="56">
        <f>J42*$K$36</f>
        <v>10.676890065599999</v>
      </c>
      <c r="L42" s="56">
        <f>SUM(J42:K42)</f>
        <v>3569.6402452655998</v>
      </c>
      <c r="M42" s="56">
        <f>L42*$M$36</f>
        <v>713.92804905312005</v>
      </c>
      <c r="N42" s="56">
        <f>SUM(L42:M42)</f>
        <v>4283.5682943187203</v>
      </c>
      <c r="O42" s="57">
        <f>N42/$E$4/12</f>
        <v>1.8012756765761615E-2</v>
      </c>
      <c r="P42" s="37">
        <f>0.02*1.045</f>
        <v>2.0899999999999998E-2</v>
      </c>
    </row>
    <row r="43" spans="1:16" ht="20.100000000000001" customHeight="1" x14ac:dyDescent="0.25">
      <c r="A43" s="58" t="s">
        <v>44</v>
      </c>
      <c r="B43" s="187" t="s">
        <v>30</v>
      </c>
      <c r="C43" s="188"/>
      <c r="D43" s="55">
        <v>4.2000000000000003E-2</v>
      </c>
      <c r="E43" s="31">
        <f>D43*E36*12</f>
        <v>7790.8320000000003</v>
      </c>
      <c r="F43" s="31">
        <f>E43*$F$36</f>
        <v>2359.0639296000004</v>
      </c>
      <c r="G43" s="31">
        <f>E43*$G$36</f>
        <v>1511.4214080000002</v>
      </c>
      <c r="H43" s="31">
        <f>E43*$H$36</f>
        <v>1246.5331200000001</v>
      </c>
      <c r="I43" s="31">
        <f>E43*$I$36</f>
        <v>3700.6451999999999</v>
      </c>
      <c r="J43" s="31">
        <f>SUM(E43:I43)</f>
        <v>16608.4956576</v>
      </c>
      <c r="K43" s="31">
        <f>J43*$K$36</f>
        <v>49.8254869728</v>
      </c>
      <c r="L43" s="31">
        <f>SUM(J43:K43)</f>
        <v>16658.321144572801</v>
      </c>
      <c r="M43" s="31">
        <f>L43*$M$36</f>
        <v>3331.6642289145602</v>
      </c>
      <c r="N43" s="31">
        <f>SUM(L43:M43)</f>
        <v>19989.985373487361</v>
      </c>
      <c r="O43" s="134">
        <f>N43/$E$4/12</f>
        <v>8.4059531573554211E-2</v>
      </c>
      <c r="P43" s="37">
        <f>0.08*1.045</f>
        <v>8.3599999999999994E-2</v>
      </c>
    </row>
    <row r="44" spans="1:16" ht="30.75" customHeight="1" x14ac:dyDescent="0.2">
      <c r="A44" s="189" t="s">
        <v>45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</row>
    <row r="45" spans="1:16" ht="20.100000000000001" customHeight="1" x14ac:dyDescent="0.25">
      <c r="A45" s="58" t="s">
        <v>46</v>
      </c>
      <c r="B45" s="187" t="s">
        <v>30</v>
      </c>
      <c r="C45" s="188"/>
      <c r="D45" s="59">
        <v>4.0000000000000001E-3</v>
      </c>
      <c r="E45" s="31">
        <f>D45*$E$36*12</f>
        <v>741.98400000000004</v>
      </c>
      <c r="F45" s="31">
        <f>E45*$F$36</f>
        <v>224.67275520000001</v>
      </c>
      <c r="G45" s="31">
        <f>E45*$G$36</f>
        <v>143.944896</v>
      </c>
      <c r="H45" s="31">
        <f>E45*$H$36</f>
        <v>118.71744000000001</v>
      </c>
      <c r="I45" s="31">
        <f>E45*$I$36</f>
        <v>352.44240000000002</v>
      </c>
      <c r="J45" s="31">
        <f>SUM(E45:I45)</f>
        <v>1581.7614911999999</v>
      </c>
      <c r="K45" s="31">
        <f>J45*$K$36</f>
        <v>4.7452844735999999</v>
      </c>
      <c r="L45" s="31">
        <f>SUM(J45:K45)</f>
        <v>1586.5067756735998</v>
      </c>
      <c r="M45" s="31">
        <f>L45*$M$36</f>
        <v>317.30135513471998</v>
      </c>
      <c r="N45" s="31">
        <f>SUM(L45:M45)</f>
        <v>1903.8081308083197</v>
      </c>
      <c r="O45" s="37">
        <f>N45/$E$4/12</f>
        <v>8.0056696736718284E-3</v>
      </c>
      <c r="P45" s="31">
        <f>0.01*1.045</f>
        <v>1.0449999999999999E-2</v>
      </c>
    </row>
    <row r="46" spans="1:16" ht="20.100000000000001" customHeight="1" x14ac:dyDescent="0.25">
      <c r="A46" s="58" t="s">
        <v>47</v>
      </c>
      <c r="B46" s="187" t="s">
        <v>30</v>
      </c>
      <c r="C46" s="188"/>
      <c r="D46" s="59">
        <v>2E-3</v>
      </c>
      <c r="E46" s="31">
        <f t="shared" ref="E46:E49" si="13">D46*$E$36*12</f>
        <v>370.99200000000002</v>
      </c>
      <c r="F46" s="31">
        <f t="shared" ref="F46:F49" si="14">E46*$F$36</f>
        <v>112.33637760000001</v>
      </c>
      <c r="G46" s="31">
        <f t="shared" ref="G46:G49" si="15">E46*$G$36</f>
        <v>71.972448</v>
      </c>
      <c r="H46" s="31">
        <f t="shared" ref="H46:H48" si="16">E46*$H$36</f>
        <v>59.358720000000005</v>
      </c>
      <c r="I46" s="31">
        <f t="shared" ref="I46:I49" si="17">E46*$I$36</f>
        <v>176.22120000000001</v>
      </c>
      <c r="J46" s="31">
        <f t="shared" ref="J46:J48" si="18">SUM(E46:I46)</f>
        <v>790.88074559999995</v>
      </c>
      <c r="K46" s="31">
        <f t="shared" ref="K46:K49" si="19">J46*$K$36</f>
        <v>2.3726422368</v>
      </c>
      <c r="L46" s="31">
        <f t="shared" ref="L46:L49" si="20">SUM(J46:K46)</f>
        <v>793.2533878367999</v>
      </c>
      <c r="M46" s="31">
        <f t="shared" ref="M46:M49" si="21">L46*$M$36</f>
        <v>158.65067756735999</v>
      </c>
      <c r="N46" s="31">
        <f t="shared" ref="N46:N49" si="22">SUM(L46:M46)</f>
        <v>951.90406540415984</v>
      </c>
      <c r="O46" s="37">
        <f>N46/$E$4/12</f>
        <v>4.0028348368359142E-3</v>
      </c>
      <c r="P46" s="31">
        <v>0.01</v>
      </c>
    </row>
    <row r="47" spans="1:16" ht="20.100000000000001" customHeight="1" x14ac:dyDescent="0.25">
      <c r="A47" s="58" t="s">
        <v>48</v>
      </c>
      <c r="B47" s="187" t="s">
        <v>30</v>
      </c>
      <c r="C47" s="188"/>
      <c r="D47" s="55">
        <v>2.5999999999999999E-2</v>
      </c>
      <c r="E47" s="31">
        <f t="shared" si="13"/>
        <v>4822.8959999999997</v>
      </c>
      <c r="F47" s="31">
        <f>E47*$F$36</f>
        <v>1460.3729088</v>
      </c>
      <c r="G47" s="31">
        <f t="shared" si="15"/>
        <v>935.64182399999993</v>
      </c>
      <c r="H47" s="31">
        <f t="shared" si="16"/>
        <v>771.66336000000001</v>
      </c>
      <c r="I47" s="31">
        <f t="shared" si="17"/>
        <v>2290.8755999999998</v>
      </c>
      <c r="J47" s="31">
        <f t="shared" si="18"/>
        <v>10281.449692799999</v>
      </c>
      <c r="K47" s="31">
        <f t="shared" si="19"/>
        <v>30.844349078399997</v>
      </c>
      <c r="L47" s="31">
        <f t="shared" si="20"/>
        <v>10312.294041878398</v>
      </c>
      <c r="M47" s="31">
        <f t="shared" si="21"/>
        <v>2062.4588083756798</v>
      </c>
      <c r="N47" s="31">
        <f t="shared" si="22"/>
        <v>12374.752850254077</v>
      </c>
      <c r="O47" s="37">
        <f t="shared" ref="O47" si="23">N47/$E$4/12</f>
        <v>5.203685287886687E-2</v>
      </c>
      <c r="P47" s="31">
        <f>0.06*1.045</f>
        <v>6.2699999999999992E-2</v>
      </c>
    </row>
    <row r="48" spans="1:16" ht="20.100000000000001" customHeight="1" x14ac:dyDescent="0.25">
      <c r="A48" s="58" t="s">
        <v>49</v>
      </c>
      <c r="B48" s="187" t="s">
        <v>30</v>
      </c>
      <c r="C48" s="188"/>
      <c r="D48" s="59">
        <v>1.0999999999999999E-2</v>
      </c>
      <c r="E48" s="31">
        <f t="shared" si="13"/>
        <v>2040.4559999999997</v>
      </c>
      <c r="F48" s="31">
        <f t="shared" si="14"/>
        <v>617.8500767999999</v>
      </c>
      <c r="G48" s="31">
        <f t="shared" si="15"/>
        <v>395.84846399999992</v>
      </c>
      <c r="H48" s="31">
        <f t="shared" si="16"/>
        <v>326.47295999999994</v>
      </c>
      <c r="I48" s="31">
        <f t="shared" si="17"/>
        <v>969.21659999999986</v>
      </c>
      <c r="J48" s="31">
        <f t="shared" si="18"/>
        <v>4349.8441007999991</v>
      </c>
      <c r="K48" s="31">
        <f t="shared" si="19"/>
        <v>13.049532302399998</v>
      </c>
      <c r="L48" s="31">
        <f t="shared" si="20"/>
        <v>4362.8936331023988</v>
      </c>
      <c r="M48" s="31">
        <f t="shared" si="21"/>
        <v>872.57872662047976</v>
      </c>
      <c r="N48" s="31">
        <f t="shared" si="22"/>
        <v>5235.4723597228785</v>
      </c>
      <c r="O48" s="37">
        <f>N48/$E$4/12</f>
        <v>2.2015591602597525E-2</v>
      </c>
      <c r="P48" s="31">
        <f>0.03*1.045</f>
        <v>3.1349999999999996E-2</v>
      </c>
    </row>
    <row r="49" spans="1:18" ht="20.100000000000001" customHeight="1" x14ac:dyDescent="0.25">
      <c r="A49" s="58" t="s">
        <v>50</v>
      </c>
      <c r="B49" s="187" t="s">
        <v>30</v>
      </c>
      <c r="C49" s="188"/>
      <c r="D49" s="59">
        <v>4.4999999999999998E-2</v>
      </c>
      <c r="E49" s="31">
        <f t="shared" si="13"/>
        <v>8347.32</v>
      </c>
      <c r="F49" s="31">
        <f t="shared" si="14"/>
        <v>2527.5684959999999</v>
      </c>
      <c r="G49" s="31">
        <f t="shared" si="15"/>
        <v>1619.3800799999999</v>
      </c>
      <c r="H49" s="31">
        <f>E49*$H$36</f>
        <v>1335.5712000000001</v>
      </c>
      <c r="I49" s="31">
        <f t="shared" si="17"/>
        <v>3964.9769999999999</v>
      </c>
      <c r="J49" s="31">
        <f>SUM(E49:I49)</f>
        <v>17794.816776</v>
      </c>
      <c r="K49" s="31">
        <f t="shared" si="19"/>
        <v>53.384450328</v>
      </c>
      <c r="L49" s="31">
        <f t="shared" si="20"/>
        <v>17848.201226328001</v>
      </c>
      <c r="M49" s="31">
        <f t="shared" si="21"/>
        <v>3569.6402452656002</v>
      </c>
      <c r="N49" s="31">
        <f t="shared" si="22"/>
        <v>21417.841471593601</v>
      </c>
      <c r="O49" s="37">
        <f>N49/$E$4/12</f>
        <v>9.0063783828808086E-2</v>
      </c>
      <c r="P49" s="31">
        <f>0.1*1.045</f>
        <v>0.1045</v>
      </c>
    </row>
    <row r="50" spans="1:18" ht="20.100000000000001" customHeight="1" x14ac:dyDescent="0.2">
      <c r="A50" s="151" t="s">
        <v>51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3"/>
    </row>
    <row r="51" spans="1:18" ht="20.100000000000001" customHeight="1" x14ac:dyDescent="0.25">
      <c r="A51" s="58" t="s">
        <v>52</v>
      </c>
      <c r="B51" s="187" t="s">
        <v>30</v>
      </c>
      <c r="C51" s="188"/>
      <c r="D51" s="59">
        <v>0.1</v>
      </c>
      <c r="E51" s="31">
        <f>D51*$E$36*12</f>
        <v>18549.600000000002</v>
      </c>
      <c r="F51" s="31">
        <f>E51*$F$36</f>
        <v>5616.8188800000007</v>
      </c>
      <c r="G51" s="31">
        <f>E51*$G$36</f>
        <v>3598.6224000000007</v>
      </c>
      <c r="H51" s="31">
        <f>E51*$H$36</f>
        <v>2967.9360000000006</v>
      </c>
      <c r="I51" s="31">
        <f>E51*$I$36</f>
        <v>8811.0600000000013</v>
      </c>
      <c r="J51" s="31">
        <f>SUM(E51:I51)</f>
        <v>39544.037280000004</v>
      </c>
      <c r="K51" s="31">
        <f>J51*$K$36</f>
        <v>118.63211184000002</v>
      </c>
      <c r="L51" s="31">
        <f>SUM(J51:K51)</f>
        <v>39662.669391840005</v>
      </c>
      <c r="M51" s="31">
        <f>L51*$M$36</f>
        <v>7932.5338783680018</v>
      </c>
      <c r="N51" s="31">
        <f>SUM(L51:M51)</f>
        <v>47595.203270208003</v>
      </c>
      <c r="O51" s="37">
        <f>N51/$E$4/12</f>
        <v>0.20014174184179576</v>
      </c>
      <c r="P51" s="31">
        <f>0.22*1.045</f>
        <v>0.22989999999999999</v>
      </c>
    </row>
    <row r="52" spans="1:18" ht="32.25" customHeight="1" x14ac:dyDescent="0.25">
      <c r="A52" s="58" t="s">
        <v>53</v>
      </c>
      <c r="B52" s="187" t="s">
        <v>30</v>
      </c>
      <c r="C52" s="188"/>
      <c r="D52" s="59">
        <v>5.0000000000000001E-3</v>
      </c>
      <c r="E52" s="31">
        <f>D52*$E$36*12</f>
        <v>927.48</v>
      </c>
      <c r="F52" s="31">
        <f t="shared" ref="F52:F53" si="24">E52*$F$36</f>
        <v>280.84094400000004</v>
      </c>
      <c r="G52" s="31">
        <f t="shared" ref="G52:G53" si="25">E52*$G$36</f>
        <v>179.93112000000002</v>
      </c>
      <c r="H52" s="31">
        <f t="shared" ref="H52:H53" si="26">E52*$H$36</f>
        <v>148.39680000000001</v>
      </c>
      <c r="I52" s="31">
        <f t="shared" ref="I52:I53" si="27">E52*$I$36</f>
        <v>440.553</v>
      </c>
      <c r="J52" s="31">
        <f t="shared" ref="J52:J53" si="28">SUM(E52:I52)</f>
        <v>1977.2018640000001</v>
      </c>
      <c r="K52" s="31">
        <f t="shared" ref="K52:K53" si="29">J52*$K$36</f>
        <v>5.9316055920000004</v>
      </c>
      <c r="L52" s="31">
        <f t="shared" ref="L52:L53" si="30">SUM(J52:K52)</f>
        <v>1983.1334695920002</v>
      </c>
      <c r="M52" s="31">
        <f t="shared" ref="M52:M53" si="31">L52*$M$36</f>
        <v>396.62669391840006</v>
      </c>
      <c r="N52" s="31">
        <f t="shared" ref="N52:N53" si="32">SUM(L52:M52)</f>
        <v>2379.7601635104002</v>
      </c>
      <c r="O52" s="37">
        <f t="shared" ref="O52:O53" si="33">N52/$E$4/12</f>
        <v>1.0007087092089787E-2</v>
      </c>
      <c r="P52" s="31">
        <f>((O52*1.04)*1.055)*1.045</f>
        <v>1.1473865875525754E-2</v>
      </c>
    </row>
    <row r="53" spans="1:18" ht="20.100000000000001" customHeight="1" x14ac:dyDescent="0.25">
      <c r="A53" s="58" t="s">
        <v>54</v>
      </c>
      <c r="B53" s="187" t="s">
        <v>30</v>
      </c>
      <c r="C53" s="188"/>
      <c r="D53" s="59">
        <v>4.0000000000000001E-3</v>
      </c>
      <c r="E53" s="31">
        <f t="shared" ref="E53" si="34">D53*$E$36*12</f>
        <v>741.98400000000004</v>
      </c>
      <c r="F53" s="31">
        <f t="shared" si="24"/>
        <v>224.67275520000001</v>
      </c>
      <c r="G53" s="31">
        <f t="shared" si="25"/>
        <v>143.944896</v>
      </c>
      <c r="H53" s="31">
        <f t="shared" si="26"/>
        <v>118.71744000000001</v>
      </c>
      <c r="I53" s="31">
        <f t="shared" si="27"/>
        <v>352.44240000000002</v>
      </c>
      <c r="J53" s="31">
        <f t="shared" si="28"/>
        <v>1581.7614911999999</v>
      </c>
      <c r="K53" s="31">
        <f t="shared" si="29"/>
        <v>4.7452844735999999</v>
      </c>
      <c r="L53" s="31">
        <f t="shared" si="30"/>
        <v>1586.5067756735998</v>
      </c>
      <c r="M53" s="31">
        <f t="shared" si="31"/>
        <v>317.30135513471998</v>
      </c>
      <c r="N53" s="31">
        <f t="shared" si="32"/>
        <v>1903.8081308083197</v>
      </c>
      <c r="O53" s="37">
        <f t="shared" si="33"/>
        <v>8.0056696736718284E-3</v>
      </c>
      <c r="P53" s="31">
        <f>((O53*1.04)*1.055)*1.045</f>
        <v>9.1790927004206015E-3</v>
      </c>
    </row>
    <row r="54" spans="1:18" ht="20.100000000000001" customHeight="1" x14ac:dyDescent="0.25">
      <c r="A54" s="60" t="s">
        <v>22</v>
      </c>
      <c r="B54" s="203"/>
      <c r="C54" s="219"/>
      <c r="D54" s="33">
        <f>D41+D42+D43+D45+D46+D47+D48+D49+D51+D52+D53</f>
        <v>0.66900000000000004</v>
      </c>
      <c r="E54" s="33">
        <f t="shared" ref="E54:O54" si="35">E41+E42+E43+E45+E46+E47+E48+E49+E51+E52+E53</f>
        <v>124096.82399999998</v>
      </c>
      <c r="F54" s="33">
        <f t="shared" si="35"/>
        <v>37576.518307200015</v>
      </c>
      <c r="G54" s="33">
        <f t="shared" si="35"/>
        <v>24074.783856000002</v>
      </c>
      <c r="H54" s="33">
        <f t="shared" si="35"/>
        <v>19855.491840000002</v>
      </c>
      <c r="I54" s="33">
        <f t="shared" si="35"/>
        <v>58945.991399999999</v>
      </c>
      <c r="J54" s="33">
        <f t="shared" si="35"/>
        <v>264549.60940320004</v>
      </c>
      <c r="K54" s="33">
        <f t="shared" si="35"/>
        <v>793.64882820959997</v>
      </c>
      <c r="L54" s="33">
        <f t="shared" si="35"/>
        <v>265343.25823140959</v>
      </c>
      <c r="M54" s="33">
        <f t="shared" si="35"/>
        <v>53068.65164628192</v>
      </c>
      <c r="N54" s="33">
        <f t="shared" si="35"/>
        <v>318411.90987769148</v>
      </c>
      <c r="O54" s="134">
        <f t="shared" si="35"/>
        <v>1.3389482529216135</v>
      </c>
      <c r="P54" s="31">
        <f>P53+P52+P51+P49+P48+P47+P46+P45+P43+P42+P41</f>
        <v>1.5240529585759464</v>
      </c>
    </row>
    <row r="55" spans="1:18" ht="20.100000000000001" customHeight="1" x14ac:dyDescent="0.2">
      <c r="A55" s="151" t="s">
        <v>56</v>
      </c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3"/>
    </row>
    <row r="56" spans="1:18" ht="20.100000000000001" customHeight="1" x14ac:dyDescent="0.25">
      <c r="A56" s="58" t="s">
        <v>57</v>
      </c>
      <c r="B56" s="187" t="s">
        <v>58</v>
      </c>
      <c r="C56" s="188"/>
      <c r="D56" s="59">
        <v>0.06</v>
      </c>
      <c r="E56" s="52">
        <f>D56*$E$36*12</f>
        <v>11129.76</v>
      </c>
      <c r="F56" s="52">
        <f>E56*$F$36</f>
        <v>3370.0913280000004</v>
      </c>
      <c r="G56" s="52">
        <f>E56*$G$36</f>
        <v>2159.17344</v>
      </c>
      <c r="H56" s="52">
        <f>E56*$H$36</f>
        <v>1780.7616</v>
      </c>
      <c r="I56" s="52">
        <f>E56*$I$36</f>
        <v>5286.6359999999995</v>
      </c>
      <c r="J56" s="52">
        <f>SUM(E56:I56)</f>
        <v>23726.422368</v>
      </c>
      <c r="K56" s="52">
        <f>J56*$K$36</f>
        <v>71.179267104000004</v>
      </c>
      <c r="L56" s="52">
        <f>SUM(J56:K56)</f>
        <v>23797.601635103998</v>
      </c>
      <c r="M56" s="52">
        <f>L56*$M$36</f>
        <v>4759.5203270207994</v>
      </c>
      <c r="N56" s="52">
        <f>SUM(L56:M56)</f>
        <v>28557.121962124798</v>
      </c>
      <c r="O56" s="52">
        <f>N56/$E$4/12</f>
        <v>0.12008504510507743</v>
      </c>
      <c r="P56" s="31">
        <f>0.11*1.045</f>
        <v>0.11495</v>
      </c>
    </row>
    <row r="57" spans="1:18" ht="20.100000000000001" customHeight="1" x14ac:dyDescent="0.25">
      <c r="A57" s="63" t="s">
        <v>59</v>
      </c>
      <c r="B57" s="187" t="s">
        <v>60</v>
      </c>
      <c r="C57" s="188"/>
      <c r="D57" s="59">
        <v>5.0000000000000001E-3</v>
      </c>
      <c r="E57" s="52">
        <f t="shared" ref="E57:E59" si="36">D57*$E$36*12</f>
        <v>927.48</v>
      </c>
      <c r="F57" s="52">
        <f t="shared" ref="F57:F60" si="37">E57*$F$36</f>
        <v>280.84094400000004</v>
      </c>
      <c r="G57" s="52">
        <f t="shared" ref="G57:G60" si="38">E57*$G$36</f>
        <v>179.93112000000002</v>
      </c>
      <c r="H57" s="52">
        <f t="shared" ref="H57:H60" si="39">E57*$H$36</f>
        <v>148.39680000000001</v>
      </c>
      <c r="I57" s="52">
        <f t="shared" ref="I57:I60" si="40">E57*$I$36</f>
        <v>440.553</v>
      </c>
      <c r="J57" s="52">
        <f t="shared" ref="J57:J60" si="41">SUM(E57:I57)</f>
        <v>1977.2018640000001</v>
      </c>
      <c r="K57" s="52">
        <f t="shared" ref="K57:K60" si="42">J57*$K$36</f>
        <v>5.9316055920000004</v>
      </c>
      <c r="L57" s="52">
        <f t="shared" ref="L57:L60" si="43">SUM(J57:K57)</f>
        <v>1983.1334695920002</v>
      </c>
      <c r="M57" s="52">
        <f t="shared" ref="M57:M59" si="44">L57*$M$36</f>
        <v>396.62669391840006</v>
      </c>
      <c r="N57" s="52">
        <f t="shared" ref="N57:N60" si="45">SUM(L57:M57)</f>
        <v>2379.7601635104002</v>
      </c>
      <c r="O57" s="52">
        <f t="shared" ref="O57:O60" si="46">N57/$E$4/12</f>
        <v>1.0007087092089787E-2</v>
      </c>
      <c r="P57" s="31">
        <f>((O57*1.04)*1.055)*1.045</f>
        <v>1.1473865875525754E-2</v>
      </c>
    </row>
    <row r="58" spans="1:18" ht="20.100000000000001" customHeight="1" x14ac:dyDescent="0.25">
      <c r="A58" s="58" t="s">
        <v>61</v>
      </c>
      <c r="B58" s="187" t="s">
        <v>60</v>
      </c>
      <c r="C58" s="188"/>
      <c r="D58" s="59">
        <v>2.5999999999999999E-2</v>
      </c>
      <c r="E58" s="52">
        <f>D58*$E$36*12</f>
        <v>4822.8959999999997</v>
      </c>
      <c r="F58" s="52">
        <f t="shared" si="37"/>
        <v>1460.3729088</v>
      </c>
      <c r="G58" s="52">
        <f t="shared" si="38"/>
        <v>935.64182399999993</v>
      </c>
      <c r="H58" s="52">
        <f t="shared" si="39"/>
        <v>771.66336000000001</v>
      </c>
      <c r="I58" s="52">
        <f t="shared" si="40"/>
        <v>2290.8755999999998</v>
      </c>
      <c r="J58" s="52">
        <f t="shared" si="41"/>
        <v>10281.449692799999</v>
      </c>
      <c r="K58" s="52">
        <f t="shared" si="42"/>
        <v>30.844349078399997</v>
      </c>
      <c r="L58" s="52">
        <f t="shared" si="43"/>
        <v>10312.294041878398</v>
      </c>
      <c r="M58" s="52">
        <f t="shared" si="44"/>
        <v>2062.4588083756798</v>
      </c>
      <c r="N58" s="52">
        <f t="shared" si="45"/>
        <v>12374.752850254077</v>
      </c>
      <c r="O58" s="52">
        <f t="shared" si="46"/>
        <v>5.203685287886687E-2</v>
      </c>
      <c r="P58" s="31">
        <f>0.05*1.045</f>
        <v>5.2249999999999998E-2</v>
      </c>
    </row>
    <row r="59" spans="1:18" ht="20.100000000000001" customHeight="1" x14ac:dyDescent="0.25">
      <c r="A59" s="58" t="s">
        <v>62</v>
      </c>
      <c r="B59" s="187" t="s">
        <v>60</v>
      </c>
      <c r="C59" s="188"/>
      <c r="D59" s="59">
        <v>4.2000000000000003E-2</v>
      </c>
      <c r="E59" s="52">
        <f t="shared" si="36"/>
        <v>7790.8320000000003</v>
      </c>
      <c r="F59" s="52">
        <f t="shared" si="37"/>
        <v>2359.0639296000004</v>
      </c>
      <c r="G59" s="52">
        <f t="shared" si="38"/>
        <v>1511.4214080000002</v>
      </c>
      <c r="H59" s="52">
        <f t="shared" si="39"/>
        <v>1246.5331200000001</v>
      </c>
      <c r="I59" s="52">
        <f t="shared" si="40"/>
        <v>3700.6451999999999</v>
      </c>
      <c r="J59" s="52">
        <f t="shared" si="41"/>
        <v>16608.4956576</v>
      </c>
      <c r="K59" s="52">
        <f t="shared" si="42"/>
        <v>49.8254869728</v>
      </c>
      <c r="L59" s="52">
        <f t="shared" si="43"/>
        <v>16658.321144572801</v>
      </c>
      <c r="M59" s="52">
        <f t="shared" si="44"/>
        <v>3331.6642289145602</v>
      </c>
      <c r="N59" s="52">
        <f t="shared" si="45"/>
        <v>19989.985373487361</v>
      </c>
      <c r="O59" s="52">
        <f t="shared" si="46"/>
        <v>8.4059531573554211E-2</v>
      </c>
      <c r="P59" s="31">
        <f>0.09*1.045</f>
        <v>9.4049999999999995E-2</v>
      </c>
    </row>
    <row r="60" spans="1:18" ht="20.100000000000001" customHeight="1" x14ac:dyDescent="0.25">
      <c r="A60" s="64" t="s">
        <v>63</v>
      </c>
      <c r="B60" s="187" t="s">
        <v>30</v>
      </c>
      <c r="C60" s="188"/>
      <c r="D60" s="194">
        <v>0.66200000000000003</v>
      </c>
      <c r="E60" s="145">
        <f>D60*$E$36*12</f>
        <v>122798.352</v>
      </c>
      <c r="F60" s="145">
        <f t="shared" si="37"/>
        <v>37183.3409856</v>
      </c>
      <c r="G60" s="145">
        <f t="shared" si="38"/>
        <v>23822.880288</v>
      </c>
      <c r="H60" s="145">
        <f t="shared" si="39"/>
        <v>19647.73632</v>
      </c>
      <c r="I60" s="145">
        <f t="shared" si="40"/>
        <v>58329.217199999999</v>
      </c>
      <c r="J60" s="145">
        <f t="shared" si="41"/>
        <v>261781.5267936</v>
      </c>
      <c r="K60" s="145">
        <f t="shared" si="42"/>
        <v>785.34458038080004</v>
      </c>
      <c r="L60" s="145">
        <f t="shared" si="43"/>
        <v>262566.87137398083</v>
      </c>
      <c r="M60" s="145">
        <f>L60*$M$36</f>
        <v>52513.374274796166</v>
      </c>
      <c r="N60" s="145">
        <f t="shared" si="45"/>
        <v>315080.245648777</v>
      </c>
      <c r="O60" s="145">
        <f t="shared" si="46"/>
        <v>1.3249383309926877</v>
      </c>
      <c r="P60" s="145">
        <f>(1.36*1.055)*1.045</f>
        <v>1.499366</v>
      </c>
      <c r="R60" s="4"/>
    </row>
    <row r="61" spans="1:18" ht="20.100000000000001" customHeight="1" x14ac:dyDescent="0.25">
      <c r="A61" s="64" t="s">
        <v>64</v>
      </c>
      <c r="B61" s="187" t="s">
        <v>30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</row>
    <row r="62" spans="1:18" ht="20.100000000000001" customHeight="1" x14ac:dyDescent="0.25">
      <c r="A62" s="64" t="s">
        <v>65</v>
      </c>
      <c r="B62" s="187" t="s">
        <v>42</v>
      </c>
      <c r="C62" s="188"/>
      <c r="D62" s="195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</row>
    <row r="63" spans="1:18" ht="20.100000000000001" customHeight="1" x14ac:dyDescent="0.25">
      <c r="A63" s="64" t="s">
        <v>66</v>
      </c>
      <c r="B63" s="187" t="s">
        <v>30</v>
      </c>
      <c r="C63" s="188"/>
      <c r="D63" s="196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</row>
    <row r="64" spans="1:18" ht="20.100000000000001" customHeight="1" x14ac:dyDescent="0.25">
      <c r="A64" s="58" t="s">
        <v>67</v>
      </c>
      <c r="B64" s="187" t="s">
        <v>42</v>
      </c>
      <c r="C64" s="188"/>
      <c r="D64" s="59">
        <v>2E-3</v>
      </c>
      <c r="E64" s="52">
        <f>D64*$E$36*12</f>
        <v>370.99200000000002</v>
      </c>
      <c r="F64" s="52">
        <f>E64*$F$36</f>
        <v>112.33637760000001</v>
      </c>
      <c r="G64" s="52">
        <f>E64*$G$36</f>
        <v>71.972448</v>
      </c>
      <c r="H64" s="52">
        <f>E64*$H$36</f>
        <v>59.358720000000005</v>
      </c>
      <c r="I64" s="52">
        <f>E64*$I$36</f>
        <v>176.22120000000001</v>
      </c>
      <c r="J64" s="52">
        <f>SUM(E64:I64)</f>
        <v>790.88074559999995</v>
      </c>
      <c r="K64" s="52">
        <f>J64*$K$36</f>
        <v>2.3726422368</v>
      </c>
      <c r="L64" s="52">
        <f>SUM(J64:K64)</f>
        <v>793.2533878367999</v>
      </c>
      <c r="M64" s="52">
        <f>L64*$M$36</f>
        <v>158.65067756735999</v>
      </c>
      <c r="N64" s="52">
        <f>SUM(L64:M64)</f>
        <v>951.90406540415984</v>
      </c>
      <c r="O64" s="68">
        <f>N64/$E$4/12</f>
        <v>4.0028348368359142E-3</v>
      </c>
      <c r="P64" s="31">
        <f>(O64*1.04)*1.055</f>
        <v>4.3919103829763648E-3</v>
      </c>
    </row>
    <row r="65" spans="1:16" ht="20.100000000000001" customHeight="1" x14ac:dyDescent="0.25">
      <c r="A65" s="60" t="s">
        <v>22</v>
      </c>
      <c r="B65" s="128"/>
      <c r="C65" s="129"/>
      <c r="D65" s="134">
        <f>SUM(D56:D64)</f>
        <v>0.79700000000000004</v>
      </c>
      <c r="E65" s="134">
        <f t="shared" ref="E65:O65" si="47">SUM(E56:E64)</f>
        <v>147840.31200000001</v>
      </c>
      <c r="F65" s="134">
        <f t="shared" si="47"/>
        <v>44766.046473599999</v>
      </c>
      <c r="G65" s="134">
        <f t="shared" si="47"/>
        <v>28681.020528000001</v>
      </c>
      <c r="H65" s="134">
        <f t="shared" si="47"/>
        <v>23654.449919999999</v>
      </c>
      <c r="I65" s="134">
        <f t="shared" si="47"/>
        <v>70224.148199999996</v>
      </c>
      <c r="J65" s="134">
        <f t="shared" si="47"/>
        <v>315165.97712159995</v>
      </c>
      <c r="K65" s="134">
        <f t="shared" si="47"/>
        <v>945.49793136480002</v>
      </c>
      <c r="L65" s="134">
        <f t="shared" si="47"/>
        <v>316111.47505296482</v>
      </c>
      <c r="M65" s="134">
        <f t="shared" si="47"/>
        <v>63222.295010592963</v>
      </c>
      <c r="N65" s="134">
        <f t="shared" si="47"/>
        <v>379333.77006355778</v>
      </c>
      <c r="O65" s="134">
        <f t="shared" si="47"/>
        <v>1.5951296824791119</v>
      </c>
      <c r="P65" s="31">
        <f>((O65*1.04)*1.055)*1.045</f>
        <v>1.8289342205588051</v>
      </c>
    </row>
    <row r="66" spans="1:16" ht="20.100000000000001" customHeight="1" x14ac:dyDescent="0.2">
      <c r="A66" s="212" t="s">
        <v>68</v>
      </c>
      <c r="B66" s="213"/>
      <c r="C66" s="213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  <c r="O66" s="213"/>
      <c r="P66" s="214"/>
    </row>
    <row r="67" spans="1:16" ht="20.100000000000001" customHeight="1" x14ac:dyDescent="0.25">
      <c r="A67" s="151" t="s">
        <v>69</v>
      </c>
      <c r="B67" s="152"/>
      <c r="C67" s="153"/>
      <c r="D67" s="59">
        <v>0.01</v>
      </c>
      <c r="E67" s="52">
        <f>D67*$E$36*12</f>
        <v>1854.96</v>
      </c>
      <c r="F67" s="52">
        <f>E67*$F$36</f>
        <v>561.68188800000007</v>
      </c>
      <c r="G67" s="52">
        <f>E67*$G$36</f>
        <v>359.86224000000004</v>
      </c>
      <c r="H67" s="52">
        <f>E67*$H$36</f>
        <v>296.79360000000003</v>
      </c>
      <c r="I67" s="52">
        <f>E67*$I$36</f>
        <v>881.10599999999999</v>
      </c>
      <c r="J67" s="52">
        <f>SUM(E67:I67)</f>
        <v>3954.4037280000002</v>
      </c>
      <c r="K67" s="52">
        <f>J67*$K$36</f>
        <v>11.863211184000001</v>
      </c>
      <c r="L67" s="52">
        <f>SUM(J67:K67)</f>
        <v>3966.2669391840004</v>
      </c>
      <c r="M67" s="52">
        <f>L67*$M$36</f>
        <v>793.25338783680013</v>
      </c>
      <c r="N67" s="52">
        <f>SUM(L67:M67)</f>
        <v>4759.5203270208003</v>
      </c>
      <c r="O67" s="52">
        <f>N67/$E$4/12</f>
        <v>2.0014174184179574E-2</v>
      </c>
      <c r="P67" s="31">
        <f>(O67*1.04)*1.055</f>
        <v>2.1959551914881827E-2</v>
      </c>
    </row>
    <row r="68" spans="1:16" ht="20.100000000000001" customHeight="1" x14ac:dyDescent="0.25">
      <c r="A68" s="151" t="s">
        <v>70</v>
      </c>
      <c r="B68" s="152"/>
      <c r="C68" s="153"/>
      <c r="D68" s="59">
        <v>0.01</v>
      </c>
      <c r="E68" s="52">
        <f>D68*$E$36*12</f>
        <v>1854.96</v>
      </c>
      <c r="F68" s="52">
        <f>E68*$F$36</f>
        <v>561.68188800000007</v>
      </c>
      <c r="G68" s="52">
        <f>E68*$G$36</f>
        <v>359.86224000000004</v>
      </c>
      <c r="H68" s="52">
        <f>E68*$H$36</f>
        <v>296.79360000000003</v>
      </c>
      <c r="I68" s="52">
        <f>E68*$I$36</f>
        <v>881.10599999999999</v>
      </c>
      <c r="J68" s="52">
        <f>SUM(E68:I68)</f>
        <v>3954.4037280000002</v>
      </c>
      <c r="K68" s="52">
        <f>J68*$K$36</f>
        <v>11.863211184000001</v>
      </c>
      <c r="L68" s="52">
        <f>SUM(J68:K68)</f>
        <v>3966.2669391840004</v>
      </c>
      <c r="M68" s="52">
        <f>L68*$M$36</f>
        <v>793.25338783680013</v>
      </c>
      <c r="N68" s="52">
        <f>SUM(L68:M68)</f>
        <v>4759.5203270208003</v>
      </c>
      <c r="O68" s="52">
        <f>N68/$E$4/12</f>
        <v>2.0014174184179574E-2</v>
      </c>
      <c r="P68" s="31">
        <f>(O68*1.04)*1.055</f>
        <v>2.1959551914881827E-2</v>
      </c>
    </row>
    <row r="69" spans="1:16" ht="20.100000000000001" customHeight="1" x14ac:dyDescent="0.25">
      <c r="A69" s="151" t="s">
        <v>55</v>
      </c>
      <c r="B69" s="152"/>
      <c r="C69" s="153"/>
      <c r="D69" s="65">
        <f>D68+D67</f>
        <v>0.02</v>
      </c>
      <c r="E69" s="65">
        <f t="shared" ref="E69:O69" si="48">E68+E67</f>
        <v>3709.92</v>
      </c>
      <c r="F69" s="65">
        <f t="shared" si="48"/>
        <v>1123.3637760000001</v>
      </c>
      <c r="G69" s="65">
        <f t="shared" si="48"/>
        <v>719.72448000000009</v>
      </c>
      <c r="H69" s="65">
        <f t="shared" si="48"/>
        <v>593.58720000000005</v>
      </c>
      <c r="I69" s="65">
        <f t="shared" si="48"/>
        <v>1762.212</v>
      </c>
      <c r="J69" s="65">
        <f t="shared" si="48"/>
        <v>7908.8074560000005</v>
      </c>
      <c r="K69" s="65">
        <f t="shared" si="48"/>
        <v>23.726422368000001</v>
      </c>
      <c r="L69" s="65">
        <f t="shared" si="48"/>
        <v>7932.5338783680008</v>
      </c>
      <c r="M69" s="65">
        <f t="shared" si="48"/>
        <v>1586.5067756736003</v>
      </c>
      <c r="N69" s="65">
        <f t="shared" si="48"/>
        <v>9519.0406540416006</v>
      </c>
      <c r="O69" s="134">
        <f t="shared" si="48"/>
        <v>4.0028348368359147E-2</v>
      </c>
      <c r="P69" s="31">
        <f>(O69*1.04)*1.055</f>
        <v>4.3919103829763655E-2</v>
      </c>
    </row>
    <row r="70" spans="1:16" ht="20.100000000000001" customHeight="1" x14ac:dyDescent="0.25">
      <c r="A70" s="179" t="s">
        <v>71</v>
      </c>
      <c r="B70" s="180"/>
      <c r="C70" s="181"/>
      <c r="D70" s="33"/>
      <c r="E70" s="33"/>
      <c r="F70" s="33"/>
      <c r="G70" s="33"/>
      <c r="H70" s="33"/>
      <c r="I70" s="33"/>
      <c r="J70" s="33">
        <f>E4*0.375*12</f>
        <v>89177.805000000008</v>
      </c>
      <c r="K70" s="33">
        <f>J70*0.03%</f>
        <v>26.753341500000001</v>
      </c>
      <c r="L70" s="33">
        <f>SUM(J70:K70)</f>
        <v>89204.558341500015</v>
      </c>
      <c r="M70" s="79">
        <f>L70*0.2</f>
        <v>17840.911668300003</v>
      </c>
      <c r="N70" s="33">
        <f>SUM(L70:M70)</f>
        <v>107045.47000980002</v>
      </c>
      <c r="O70" s="32">
        <f>N70/E4/12</f>
        <v>0.45013500000000001</v>
      </c>
      <c r="P70" s="31">
        <v>0.48</v>
      </c>
    </row>
    <row r="71" spans="1:16" ht="20.100000000000001" customHeight="1" x14ac:dyDescent="0.25">
      <c r="A71" s="179" t="s">
        <v>72</v>
      </c>
      <c r="B71" s="180"/>
      <c r="C71" s="181"/>
      <c r="D71" s="33"/>
      <c r="E71" s="33"/>
      <c r="F71" s="33"/>
      <c r="G71" s="33"/>
      <c r="H71" s="33"/>
      <c r="I71" s="33"/>
      <c r="J71" s="33">
        <f>1.49*12*E4</f>
        <v>354333.14519999997</v>
      </c>
      <c r="K71" s="33">
        <f>J71*0.03%</f>
        <v>106.29994355999999</v>
      </c>
      <c r="L71" s="33">
        <f>SUM(J71:K71)</f>
        <v>354439.44514355995</v>
      </c>
      <c r="M71" s="33">
        <f>L71*0.2</f>
        <v>70887.889028711987</v>
      </c>
      <c r="N71" s="33">
        <f>SUM(L71:M71)</f>
        <v>425327.33417227195</v>
      </c>
      <c r="O71" s="32">
        <f>N71/E4/12</f>
        <v>1.7885363999999997</v>
      </c>
      <c r="P71" s="31">
        <v>1.93</v>
      </c>
    </row>
    <row r="72" spans="1:16" ht="20.100000000000001" customHeight="1" x14ac:dyDescent="0.25">
      <c r="A72" s="203"/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19"/>
      <c r="P72" s="54"/>
    </row>
    <row r="73" spans="1:16" ht="20.100000000000001" customHeight="1" x14ac:dyDescent="0.25">
      <c r="A73" s="220" t="s">
        <v>73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54"/>
    </row>
    <row r="74" spans="1:16" ht="20.100000000000001" customHeight="1" x14ac:dyDescent="0.25">
      <c r="A74" s="221" t="s">
        <v>74</v>
      </c>
      <c r="B74" s="221"/>
      <c r="C74" s="221"/>
      <c r="D74" s="66"/>
      <c r="E74" s="66"/>
      <c r="F74" s="66"/>
      <c r="G74" s="66"/>
      <c r="H74" s="66"/>
      <c r="I74" s="66"/>
      <c r="J74" s="66"/>
      <c r="K74" s="66"/>
      <c r="L74" s="66">
        <f>2.19*E4*12</f>
        <v>520798.38120000006</v>
      </c>
      <c r="M74" s="66">
        <f>L74*0.2</f>
        <v>104159.67624000002</v>
      </c>
      <c r="N74" s="66">
        <f>SUM(L74:M74)</f>
        <v>624958.05744000012</v>
      </c>
      <c r="O74" s="31">
        <f>N74/E4/12</f>
        <v>2.6280000000000006</v>
      </c>
      <c r="P74" s="31">
        <v>2.99</v>
      </c>
    </row>
    <row r="75" spans="1:16" ht="20.100000000000001" customHeight="1" x14ac:dyDescent="0.25">
      <c r="A75" s="221" t="s">
        <v>79</v>
      </c>
      <c r="B75" s="221"/>
      <c r="C75" s="221"/>
      <c r="D75" s="66"/>
      <c r="E75" s="66"/>
      <c r="F75" s="66"/>
      <c r="G75" s="66"/>
      <c r="H75" s="66"/>
      <c r="I75" s="66"/>
      <c r="J75" s="66"/>
      <c r="K75" s="66"/>
      <c r="L75" s="66">
        <f>0.275*E4*12</f>
        <v>65397.057000000015</v>
      </c>
      <c r="M75" s="66">
        <f>L75*0.2</f>
        <v>13079.411400000005</v>
      </c>
      <c r="N75" s="66">
        <f>SUM(L75:M75)</f>
        <v>78476.468400000012</v>
      </c>
      <c r="O75" s="31">
        <f>N75/E4/12</f>
        <v>0.33</v>
      </c>
      <c r="P75" s="31">
        <v>0.71</v>
      </c>
    </row>
    <row r="76" spans="1:16" ht="20.100000000000001" customHeight="1" x14ac:dyDescent="0.25">
      <c r="A76" s="222" t="s">
        <v>76</v>
      </c>
      <c r="B76" s="222"/>
      <c r="C76" s="222"/>
      <c r="D76" s="132"/>
      <c r="E76" s="132"/>
      <c r="F76" s="132"/>
      <c r="G76" s="132"/>
      <c r="H76" s="132"/>
      <c r="I76" s="132"/>
      <c r="J76" s="132"/>
      <c r="K76" s="132"/>
      <c r="L76" s="132">
        <f>8*2561</f>
        <v>20488</v>
      </c>
      <c r="M76" s="132">
        <f>L76*0.2</f>
        <v>4097.6000000000004</v>
      </c>
      <c r="N76" s="132">
        <f>SUM(L76:M76)</f>
        <v>24585.599999999999</v>
      </c>
      <c r="O76" s="31">
        <f>N76/E4</f>
        <v>1.2406136257782976</v>
      </c>
      <c r="P76" s="31">
        <v>1.4</v>
      </c>
    </row>
    <row r="77" spans="1:16" ht="20.100000000000001" customHeight="1" x14ac:dyDescent="0.25">
      <c r="A77" s="223" t="s">
        <v>22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5"/>
      <c r="O77" s="53">
        <f>SUM(O74:O76)</f>
        <v>4.1986136257782984</v>
      </c>
      <c r="P77" s="31">
        <f>P74+P75+P76</f>
        <v>5.0999999999999996</v>
      </c>
    </row>
    <row r="78" spans="1:16" s="10" customFormat="1" ht="33" customHeight="1" x14ac:dyDescent="0.2">
      <c r="A78" s="201" t="s">
        <v>124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O21+O32+O38+O54+O65+O70+O71+O77+O69+O22+O23</f>
        <v>21.68114365181691</v>
      </c>
      <c r="P78" s="32">
        <v>25.02</v>
      </c>
    </row>
    <row r="79" spans="1:16" ht="15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spans="1:16" ht="15" x14ac:dyDescent="0.25">
      <c r="A80" s="80" t="s">
        <v>94</v>
      </c>
      <c r="B80" s="80"/>
      <c r="C80" s="80"/>
      <c r="D80" s="14"/>
      <c r="E80" s="14"/>
      <c r="F80" s="14"/>
      <c r="G80" s="14"/>
      <c r="H80" s="14"/>
      <c r="I80" s="14"/>
      <c r="J80" s="14"/>
      <c r="K80" s="14"/>
      <c r="L80" s="14"/>
      <c r="M80" s="80" t="s">
        <v>78</v>
      </c>
      <c r="N80" s="80"/>
      <c r="O80" s="80"/>
      <c r="P80" s="81"/>
    </row>
    <row r="87" spans="4:4" x14ac:dyDescent="0.2">
      <c r="D87" s="2">
        <f>D38+D54+D65+D69</f>
        <v>3.4274200000000001</v>
      </c>
    </row>
  </sheetData>
  <mergeCells count="108">
    <mergeCell ref="A5:P5"/>
    <mergeCell ref="A78:N78"/>
    <mergeCell ref="A72:O72"/>
    <mergeCell ref="A73:O73"/>
    <mergeCell ref="A74:C74"/>
    <mergeCell ref="A75:C75"/>
    <mergeCell ref="A76:C76"/>
    <mergeCell ref="A77:N77"/>
    <mergeCell ref="A67:C67"/>
    <mergeCell ref="A68:C68"/>
    <mergeCell ref="A69:C69"/>
    <mergeCell ref="A70:C70"/>
    <mergeCell ref="A71:C71"/>
    <mergeCell ref="N60:N63"/>
    <mergeCell ref="O60:O63"/>
    <mergeCell ref="B61:C61"/>
    <mergeCell ref="B62:C62"/>
    <mergeCell ref="B63:C63"/>
    <mergeCell ref="B64:C64"/>
    <mergeCell ref="H60:H63"/>
    <mergeCell ref="I60:I63"/>
    <mergeCell ref="J60:J63"/>
    <mergeCell ref="K60:K63"/>
    <mergeCell ref="L60:L63"/>
    <mergeCell ref="M60:M63"/>
    <mergeCell ref="B59:C59"/>
    <mergeCell ref="B60:C60"/>
    <mergeCell ref="D60:D63"/>
    <mergeCell ref="E60:E63"/>
    <mergeCell ref="F60:F63"/>
    <mergeCell ref="G60:G63"/>
    <mergeCell ref="B53:C53"/>
    <mergeCell ref="B54:C54"/>
    <mergeCell ref="B56:C56"/>
    <mergeCell ref="B57:C57"/>
    <mergeCell ref="B58:C58"/>
    <mergeCell ref="B47:C47"/>
    <mergeCell ref="B48:C48"/>
    <mergeCell ref="B49:C49"/>
    <mergeCell ref="B51:C51"/>
    <mergeCell ref="B52:C52"/>
    <mergeCell ref="B41:C41"/>
    <mergeCell ref="B42:C42"/>
    <mergeCell ref="B43:C43"/>
    <mergeCell ref="B45:C45"/>
    <mergeCell ref="B46:C46"/>
    <mergeCell ref="I26:I27"/>
    <mergeCell ref="J26:J28"/>
    <mergeCell ref="K26:K27"/>
    <mergeCell ref="L34:L36"/>
    <mergeCell ref="M34:M35"/>
    <mergeCell ref="N34:N36"/>
    <mergeCell ref="O34:O36"/>
    <mergeCell ref="A39:O39"/>
    <mergeCell ref="F34:F35"/>
    <mergeCell ref="G34:G35"/>
    <mergeCell ref="H34:H35"/>
    <mergeCell ref="I34:I35"/>
    <mergeCell ref="J34:J36"/>
    <mergeCell ref="K34:K35"/>
    <mergeCell ref="A2:P2"/>
    <mergeCell ref="A3:P3"/>
    <mergeCell ref="O7:O9"/>
    <mergeCell ref="A11:O11"/>
    <mergeCell ref="A19:O19"/>
    <mergeCell ref="D22:K22"/>
    <mergeCell ref="D23:K23"/>
    <mergeCell ref="A26:A29"/>
    <mergeCell ref="B26:B28"/>
    <mergeCell ref="C26:C28"/>
    <mergeCell ref="D26:D28"/>
    <mergeCell ref="E26:E27"/>
    <mergeCell ref="I7:I8"/>
    <mergeCell ref="J7:J9"/>
    <mergeCell ref="K7:K8"/>
    <mergeCell ref="L7:L9"/>
    <mergeCell ref="M7:M8"/>
    <mergeCell ref="N7:N9"/>
    <mergeCell ref="L26:L28"/>
    <mergeCell ref="M26:M27"/>
    <mergeCell ref="N26:N28"/>
    <mergeCell ref="O26:O28"/>
    <mergeCell ref="F26:F27"/>
    <mergeCell ref="G26:G27"/>
    <mergeCell ref="P7:P9"/>
    <mergeCell ref="P26:P28"/>
    <mergeCell ref="P34:P36"/>
    <mergeCell ref="P60:P63"/>
    <mergeCell ref="A40:P40"/>
    <mergeCell ref="A44:P44"/>
    <mergeCell ref="A66:P66"/>
    <mergeCell ref="A55:P55"/>
    <mergeCell ref="A50:P50"/>
    <mergeCell ref="A7:A10"/>
    <mergeCell ref="B7:B9"/>
    <mergeCell ref="C7:C9"/>
    <mergeCell ref="D7:D9"/>
    <mergeCell ref="E7:E8"/>
    <mergeCell ref="F7:F8"/>
    <mergeCell ref="G7:G8"/>
    <mergeCell ref="H7:H8"/>
    <mergeCell ref="A33:O33"/>
    <mergeCell ref="A34:A37"/>
    <mergeCell ref="B34:B36"/>
    <mergeCell ref="C34:C36"/>
    <mergeCell ref="D34:D36"/>
    <mergeCell ref="E34:E35"/>
    <mergeCell ref="H26:H27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7"/>
  <sheetViews>
    <sheetView zoomScale="170" zoomScaleNormal="170" workbookViewId="0">
      <selection activeCell="R15" sqref="R15"/>
    </sheetView>
  </sheetViews>
  <sheetFormatPr defaultColWidth="9.140625" defaultRowHeight="12.75" x14ac:dyDescent="0.2"/>
  <cols>
    <col min="1" max="1" width="72.7109375" style="2" customWidth="1"/>
    <col min="2" max="3" width="6.7109375" style="2" hidden="1" customWidth="1"/>
    <col min="4" max="4" width="6" style="2" hidden="1" customWidth="1"/>
    <col min="5" max="5" width="9.140625" style="2" hidden="1" customWidth="1"/>
    <col min="6" max="6" width="9.5703125" style="2" hidden="1" customWidth="1"/>
    <col min="7" max="9" width="9.140625" style="2" hidden="1" customWidth="1"/>
    <col min="10" max="10" width="10.28515625" style="2" hidden="1" customWidth="1"/>
    <col min="11" max="11" width="9.140625" style="2" hidden="1" customWidth="1"/>
    <col min="12" max="12" width="9.7109375" style="2" hidden="1" customWidth="1"/>
    <col min="13" max="13" width="8.5703125" style="2" hidden="1" customWidth="1"/>
    <col min="14" max="14" width="9.85546875" style="2" hidden="1" customWidth="1"/>
    <col min="15" max="15" width="15.5703125" style="2" hidden="1" customWidth="1"/>
    <col min="16" max="16" width="15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4.25" hidden="1" x14ac:dyDescent="0.2">
      <c r="A4" s="69" t="s">
        <v>0</v>
      </c>
      <c r="B4" s="15"/>
      <c r="C4" s="15"/>
      <c r="D4" s="15"/>
      <c r="E4" s="15">
        <f>'[2]2 категория '!E8</f>
        <v>19817.29</v>
      </c>
      <c r="F4" s="15" t="s">
        <v>1</v>
      </c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2.75" customHeight="1" x14ac:dyDescent="0.2">
      <c r="A5" s="155" t="s">
        <v>100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5" hidden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/>
      <c r="P6" s="16"/>
    </row>
    <row r="7" spans="1:16" x14ac:dyDescent="0.2">
      <c r="A7" s="157" t="s">
        <v>2</v>
      </c>
      <c r="B7" s="158" t="s">
        <v>3</v>
      </c>
      <c r="C7" s="158" t="s">
        <v>4</v>
      </c>
      <c r="D7" s="158" t="s">
        <v>5</v>
      </c>
      <c r="E7" s="215" t="s">
        <v>80</v>
      </c>
      <c r="F7" s="163" t="s">
        <v>7</v>
      </c>
      <c r="G7" s="165" t="s">
        <v>8</v>
      </c>
      <c r="H7" s="165" t="s">
        <v>9</v>
      </c>
      <c r="I7" s="165" t="s">
        <v>10</v>
      </c>
      <c r="J7" s="158" t="s">
        <v>11</v>
      </c>
      <c r="K7" s="158" t="s">
        <v>12</v>
      </c>
      <c r="L7" s="167" t="s">
        <v>81</v>
      </c>
      <c r="M7" s="158" t="s">
        <v>14</v>
      </c>
      <c r="N7" s="167" t="s">
        <v>15</v>
      </c>
      <c r="O7" s="141" t="s">
        <v>16</v>
      </c>
      <c r="P7" s="144" t="s">
        <v>130</v>
      </c>
    </row>
    <row r="8" spans="1:16" ht="71.25" customHeight="1" x14ac:dyDescent="0.2">
      <c r="A8" s="157"/>
      <c r="B8" s="159"/>
      <c r="C8" s="159"/>
      <c r="D8" s="159"/>
      <c r="E8" s="216"/>
      <c r="F8" s="164"/>
      <c r="G8" s="166"/>
      <c r="H8" s="177"/>
      <c r="I8" s="177"/>
      <c r="J8" s="159"/>
      <c r="K8" s="159"/>
      <c r="L8" s="168"/>
      <c r="M8" s="159"/>
      <c r="N8" s="168"/>
      <c r="O8" s="142"/>
      <c r="P8" s="144"/>
    </row>
    <row r="9" spans="1:16" ht="15" hidden="1" x14ac:dyDescent="0.2">
      <c r="A9" s="157"/>
      <c r="B9" s="160"/>
      <c r="C9" s="160"/>
      <c r="D9" s="160"/>
      <c r="E9" s="70">
        <v>12792</v>
      </c>
      <c r="F9" s="19">
        <v>0.30280000000000001</v>
      </c>
      <c r="G9" s="50">
        <v>2.2599999999999999E-2</v>
      </c>
      <c r="H9" s="21">
        <v>2.7E-2</v>
      </c>
      <c r="I9" s="21">
        <v>0.47499999999999998</v>
      </c>
      <c r="J9" s="160"/>
      <c r="K9" s="22">
        <v>3.0000000000000001E-3</v>
      </c>
      <c r="L9" s="169"/>
      <c r="M9" s="23">
        <v>0.2</v>
      </c>
      <c r="N9" s="169"/>
      <c r="O9" s="143"/>
      <c r="P9" s="144"/>
    </row>
    <row r="10" spans="1:16" ht="14.25" hidden="1" x14ac:dyDescent="0.2">
      <c r="A10" s="157"/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14</v>
      </c>
    </row>
    <row r="11" spans="1:16" ht="20.100000000000001" customHeight="1" x14ac:dyDescent="0.25">
      <c r="A11" s="170" t="s">
        <v>17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71"/>
    </row>
    <row r="12" spans="1:16" ht="38.25" customHeight="1" x14ac:dyDescent="0.2">
      <c r="A12" s="26" t="s">
        <v>106</v>
      </c>
      <c r="B12" s="27" t="s">
        <v>18</v>
      </c>
      <c r="C12" s="27" t="s">
        <v>18</v>
      </c>
      <c r="D12" s="27">
        <f>SUM(D13:D15)</f>
        <v>1.2773907910271547</v>
      </c>
      <c r="E12" s="27">
        <f t="shared" ref="E12:O12" si="0">SUM(E13:E15)</f>
        <v>196084.59598583236</v>
      </c>
      <c r="F12" s="27">
        <f t="shared" si="0"/>
        <v>59374.415664510037</v>
      </c>
      <c r="G12" s="27">
        <f t="shared" si="0"/>
        <v>4431.5118692798105</v>
      </c>
      <c r="H12" s="27">
        <f t="shared" si="0"/>
        <v>5294.2840916174737</v>
      </c>
      <c r="I12" s="27">
        <f t="shared" si="0"/>
        <v>93140.183093270374</v>
      </c>
      <c r="J12" s="27">
        <f t="shared" si="0"/>
        <v>358324.99070451007</v>
      </c>
      <c r="K12" s="27">
        <f t="shared" si="0"/>
        <v>1074.9749721135302</v>
      </c>
      <c r="L12" s="27">
        <f t="shared" si="0"/>
        <v>359399.96567662363</v>
      </c>
      <c r="M12" s="27">
        <f t="shared" si="0"/>
        <v>71879.993135324738</v>
      </c>
      <c r="N12" s="27">
        <f t="shared" si="0"/>
        <v>431279.95881194831</v>
      </c>
      <c r="O12" s="27">
        <f t="shared" si="0"/>
        <v>1.8135676758861761</v>
      </c>
      <c r="P12" s="27">
        <v>2.0499999999999998</v>
      </c>
    </row>
    <row r="13" spans="1:16" ht="20.100000000000001" customHeight="1" x14ac:dyDescent="0.25">
      <c r="A13" s="28" t="s">
        <v>19</v>
      </c>
      <c r="B13" s="29">
        <f>'[2]2 категория '!S8</f>
        <v>585</v>
      </c>
      <c r="C13" s="29">
        <v>3630</v>
      </c>
      <c r="D13" s="72">
        <f>B13/C13</f>
        <v>0.16115702479338842</v>
      </c>
      <c r="E13" s="72">
        <f>D13*$E$9*12</f>
        <v>24738.247933884297</v>
      </c>
      <c r="F13" s="31">
        <f>E13*$F$9</f>
        <v>7490.7414743801655</v>
      </c>
      <c r="G13" s="31">
        <f>E13*$G$9</f>
        <v>559.08440330578503</v>
      </c>
      <c r="H13" s="31">
        <f>E13*$H$9</f>
        <v>667.93269421487605</v>
      </c>
      <c r="I13" s="31">
        <f>E13*$I$9</f>
        <v>11750.66776859504</v>
      </c>
      <c r="J13" s="31">
        <f>SUM(E13:I13)</f>
        <v>45206.674274380166</v>
      </c>
      <c r="K13" s="31">
        <f>J13*$K$9</f>
        <v>135.62002282314049</v>
      </c>
      <c r="L13" s="32">
        <f>SUM(J13:K13)</f>
        <v>45342.294297203305</v>
      </c>
      <c r="M13" s="31">
        <f>L13*$M$9</f>
        <v>9068.4588594406614</v>
      </c>
      <c r="N13" s="32">
        <f>SUM(L13:M13)</f>
        <v>54410.753156643965</v>
      </c>
      <c r="O13" s="31">
        <f>N13/$E$4/12</f>
        <v>0.2288016893187883</v>
      </c>
      <c r="P13" s="27">
        <f>(0.24*1.05)*1.045</f>
        <v>0.26333999999999996</v>
      </c>
    </row>
    <row r="14" spans="1:16" ht="20.100000000000001" customHeight="1" x14ac:dyDescent="0.25">
      <c r="A14" s="28" t="s">
        <v>20</v>
      </c>
      <c r="B14" s="29">
        <f>'[2]2 категория '!T8</f>
        <v>3438</v>
      </c>
      <c r="C14" s="29">
        <v>3080</v>
      </c>
      <c r="D14" s="72">
        <f>B14/C14</f>
        <v>1.1162337662337662</v>
      </c>
      <c r="E14" s="72">
        <f>D14*$E$9*12</f>
        <v>171346.34805194807</v>
      </c>
      <c r="F14" s="31">
        <f t="shared" ref="F14:F15" si="1">E14*$F$9</f>
        <v>51883.674190129874</v>
      </c>
      <c r="G14" s="31">
        <f t="shared" ref="G14:G15" si="2">E14*$G$9</f>
        <v>3872.4274659740258</v>
      </c>
      <c r="H14" s="31">
        <f t="shared" ref="H14:H15" si="3">E14*$H$9</f>
        <v>4626.3513974025973</v>
      </c>
      <c r="I14" s="31">
        <f t="shared" ref="I14:I15" si="4">E14*$I$9</f>
        <v>81389.515324675333</v>
      </c>
      <c r="J14" s="31">
        <f t="shared" ref="J14:J15" si="5">SUM(E14:I14)</f>
        <v>313118.31643012993</v>
      </c>
      <c r="K14" s="31">
        <f t="shared" ref="K14:K15" si="6">J14*$K$9</f>
        <v>939.35494929038975</v>
      </c>
      <c r="L14" s="32">
        <f t="shared" ref="L14:L15" si="7">SUM(J14:K14)</f>
        <v>314057.67137942032</v>
      </c>
      <c r="M14" s="31">
        <f t="shared" ref="M14:M15" si="8">L14*$M$9</f>
        <v>62811.534275884071</v>
      </c>
      <c r="N14" s="32">
        <f t="shared" ref="N14:N15" si="9">SUM(L14:M14)</f>
        <v>376869.20565530437</v>
      </c>
      <c r="O14" s="31">
        <f>N14/$E$4/12</f>
        <v>1.5847659865673878</v>
      </c>
      <c r="P14" s="27">
        <f>(1.63*1.055)*1.045</f>
        <v>1.7970342499999996</v>
      </c>
    </row>
    <row r="15" spans="1:16" ht="20.100000000000001" customHeight="1" x14ac:dyDescent="0.25">
      <c r="A15" s="28" t="s">
        <v>21</v>
      </c>
      <c r="B15" s="29">
        <f>'[2]2 категория '!U8</f>
        <v>0</v>
      </c>
      <c r="C15" s="29">
        <v>2500</v>
      </c>
      <c r="D15" s="72">
        <f t="shared" ref="D15" si="10">B15/C15</f>
        <v>0</v>
      </c>
      <c r="E15" s="72">
        <f>D15*$E$9*12</f>
        <v>0</v>
      </c>
      <c r="F15" s="31">
        <f t="shared" si="1"/>
        <v>0</v>
      </c>
      <c r="G15" s="31">
        <f t="shared" si="2"/>
        <v>0</v>
      </c>
      <c r="H15" s="31">
        <f t="shared" si="3"/>
        <v>0</v>
      </c>
      <c r="I15" s="31">
        <f t="shared" si="4"/>
        <v>0</v>
      </c>
      <c r="J15" s="31">
        <f t="shared" si="5"/>
        <v>0</v>
      </c>
      <c r="K15" s="31">
        <f t="shared" si="6"/>
        <v>0</v>
      </c>
      <c r="L15" s="32">
        <f t="shared" si="7"/>
        <v>0</v>
      </c>
      <c r="M15" s="31">
        <f t="shared" si="8"/>
        <v>0</v>
      </c>
      <c r="N15" s="32">
        <f t="shared" si="9"/>
        <v>0</v>
      </c>
      <c r="O15" s="31">
        <f>N15/$E$4/12</f>
        <v>0</v>
      </c>
      <c r="P15" s="31">
        <f>(O15*1.04)*1.055</f>
        <v>0</v>
      </c>
    </row>
    <row r="16" spans="1:16" ht="20.100000000000001" customHeight="1" x14ac:dyDescent="0.25">
      <c r="A16" s="26" t="s">
        <v>98</v>
      </c>
      <c r="B16" s="29">
        <f>'[2]2 категория '!Q8</f>
        <v>3274</v>
      </c>
      <c r="C16" s="29">
        <v>30000</v>
      </c>
      <c r="D16" s="31">
        <f>B16/C16</f>
        <v>0.10913333333333333</v>
      </c>
      <c r="E16" s="72">
        <f>$E$9*D16*12</f>
        <v>16752.403200000001</v>
      </c>
      <c r="F16" s="31">
        <f>E16*$F$9</f>
        <v>5072.6276889600003</v>
      </c>
      <c r="G16" s="31">
        <f>E16*$G$9</f>
        <v>378.60431231999996</v>
      </c>
      <c r="H16" s="31">
        <f>E16*$H$9</f>
        <v>452.31488640000003</v>
      </c>
      <c r="I16" s="31">
        <f>E16*$I$9</f>
        <v>7957.3915200000001</v>
      </c>
      <c r="J16" s="31">
        <f>E16+F16+G16+H16+I16</f>
        <v>30613.341607680002</v>
      </c>
      <c r="K16" s="31">
        <f>J16*$K$9</f>
        <v>91.840024823040011</v>
      </c>
      <c r="L16" s="32">
        <f>J16+K16</f>
        <v>30705.181632503041</v>
      </c>
      <c r="M16" s="31">
        <f>L16*$M$9</f>
        <v>6141.036326500609</v>
      </c>
      <c r="N16" s="32">
        <f>L16+M16</f>
        <v>36846.217959003654</v>
      </c>
      <c r="O16" s="31">
        <f>N16/$E$4/12</f>
        <v>0.15494137509469277</v>
      </c>
      <c r="P16" s="31">
        <f>((O16*1.04)*1.055)*1.045</f>
        <v>0.17765175220782226</v>
      </c>
    </row>
    <row r="17" spans="1:16" ht="48" customHeight="1" x14ac:dyDescent="0.25">
      <c r="A17" s="28" t="s">
        <v>108</v>
      </c>
      <c r="B17" s="29">
        <f>'[2]2 категория '!R8</f>
        <v>3158</v>
      </c>
      <c r="C17" s="29">
        <v>10000</v>
      </c>
      <c r="D17" s="31">
        <f>B17/C17</f>
        <v>0.31580000000000003</v>
      </c>
      <c r="E17" s="72">
        <f>$E$9*D17*12</f>
        <v>48476.563200000004</v>
      </c>
      <c r="F17" s="31">
        <f>E17*$F$9</f>
        <v>14678.703336960001</v>
      </c>
      <c r="G17" s="31">
        <f>E17*$G$9</f>
        <v>1095.57032832</v>
      </c>
      <c r="H17" s="31">
        <f>E17*$H$9</f>
        <v>1308.8672064</v>
      </c>
      <c r="I17" s="31">
        <f>E17*$I$9</f>
        <v>23026.36752</v>
      </c>
      <c r="J17" s="31">
        <f>E17+F17+G17+H17+I17</f>
        <v>88586.071591680011</v>
      </c>
      <c r="K17" s="31">
        <f>J17*$K$9</f>
        <v>265.75821477504002</v>
      </c>
      <c r="L17" s="32">
        <f>J17+K17</f>
        <v>88851.829806455047</v>
      </c>
      <c r="M17" s="31">
        <f>L17*$M$9</f>
        <v>17770.365961291009</v>
      </c>
      <c r="N17" s="32">
        <f>L17+M17</f>
        <v>106622.19576774606</v>
      </c>
      <c r="O17" s="31">
        <f>N17/$E$4/12</f>
        <v>0.44835509702111159</v>
      </c>
      <c r="P17" s="31">
        <f>((O17*1.04)*1.055)*1.45</f>
        <v>0.71330605805476721</v>
      </c>
    </row>
    <row r="18" spans="1:16" ht="20.100000000000001" customHeight="1" x14ac:dyDescent="0.2">
      <c r="A18" s="33" t="s">
        <v>22</v>
      </c>
      <c r="B18" s="32"/>
      <c r="C18" s="32"/>
      <c r="D18" s="32">
        <f>SUM(D13:D17)</f>
        <v>1.7023241243604881</v>
      </c>
      <c r="E18" s="73">
        <f>SUM(E13:E17)</f>
        <v>261313.56238583237</v>
      </c>
      <c r="F18" s="73">
        <f t="shared" ref="F18:N18" si="11">SUM(F13:F17)</f>
        <v>79125.746690430038</v>
      </c>
      <c r="G18" s="73">
        <f t="shared" si="11"/>
        <v>5905.6865099198103</v>
      </c>
      <c r="H18" s="73">
        <f t="shared" si="11"/>
        <v>7055.4661844174743</v>
      </c>
      <c r="I18" s="73">
        <f t="shared" si="11"/>
        <v>124123.94213327038</v>
      </c>
      <c r="J18" s="73">
        <f t="shared" si="11"/>
        <v>477524.40390387009</v>
      </c>
      <c r="K18" s="73">
        <f t="shared" si="11"/>
        <v>1432.5732117116102</v>
      </c>
      <c r="L18" s="73">
        <f t="shared" si="11"/>
        <v>478956.97711558174</v>
      </c>
      <c r="M18" s="73">
        <f t="shared" si="11"/>
        <v>95791.395423116366</v>
      </c>
      <c r="N18" s="73">
        <f t="shared" si="11"/>
        <v>574748.37253869802</v>
      </c>
      <c r="O18" s="32">
        <f>SUM(O12:O17)</f>
        <v>4.2304318238881562</v>
      </c>
      <c r="P18" s="27">
        <f>P13+P14+P16+P17</f>
        <v>2.9513320602625894</v>
      </c>
    </row>
    <row r="19" spans="1:16" ht="20.100000000000001" customHeight="1" x14ac:dyDescent="0.2">
      <c r="A19" s="172" t="s">
        <v>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27"/>
    </row>
    <row r="20" spans="1:16" ht="47.25" customHeight="1" x14ac:dyDescent="0.25">
      <c r="A20" s="28" t="s">
        <v>24</v>
      </c>
      <c r="B20" s="29">
        <f>'[2]2 категория '!I8</f>
        <v>3324.4</v>
      </c>
      <c r="C20" s="29">
        <f>B20/D20</f>
        <v>1178.8652482269504</v>
      </c>
      <c r="D20" s="32">
        <v>2.82</v>
      </c>
      <c r="E20" s="72">
        <f>E9*D20*12</f>
        <v>432881.27999999991</v>
      </c>
      <c r="F20" s="31">
        <f>E20*F9</f>
        <v>131076.45158399997</v>
      </c>
      <c r="G20" s="31">
        <f>E20*G9</f>
        <v>9783.1169279999976</v>
      </c>
      <c r="H20" s="31">
        <f>E20*H9</f>
        <v>11687.794559999997</v>
      </c>
      <c r="I20" s="31">
        <f>E20*I9</f>
        <v>205618.60799999995</v>
      </c>
      <c r="J20" s="31">
        <f>E20+F20+G20+H20+I20</f>
        <v>791047.25107199978</v>
      </c>
      <c r="K20" s="31">
        <f>J20*K9</f>
        <v>2373.1417532159994</v>
      </c>
      <c r="L20" s="31">
        <f>J20+K20</f>
        <v>793420.39282521582</v>
      </c>
      <c r="M20" s="31">
        <f>L20*M9</f>
        <v>158684.07856504316</v>
      </c>
      <c r="N20" s="32">
        <f>L20+M20</f>
        <v>952104.47139025899</v>
      </c>
      <c r="O20" s="31">
        <f>N20/$E$4/12</f>
        <v>4.0036775604798427</v>
      </c>
      <c r="P20" s="31">
        <f>((O20*1.04)*1.055)*1.045</f>
        <v>4.5905125952296153</v>
      </c>
    </row>
    <row r="21" spans="1:16" ht="20.100000000000001" customHeight="1" x14ac:dyDescent="0.2">
      <c r="A21" s="33" t="s">
        <v>26</v>
      </c>
      <c r="B21" s="36"/>
      <c r="C21" s="36"/>
      <c r="D21" s="36"/>
      <c r="E21" s="73">
        <f>E18+E20</f>
        <v>694194.84238583222</v>
      </c>
      <c r="F21" s="73">
        <f t="shared" ref="F21:O21" si="12">F18+F20</f>
        <v>210202.19827443</v>
      </c>
      <c r="G21" s="73">
        <f t="shared" si="12"/>
        <v>15688.803437919807</v>
      </c>
      <c r="H21" s="73">
        <f t="shared" si="12"/>
        <v>18743.260744417472</v>
      </c>
      <c r="I21" s="73">
        <f t="shared" si="12"/>
        <v>329742.55013327033</v>
      </c>
      <c r="J21" s="73">
        <f t="shared" si="12"/>
        <v>1268571.6549758699</v>
      </c>
      <c r="K21" s="73">
        <f t="shared" si="12"/>
        <v>3805.7149649276098</v>
      </c>
      <c r="L21" s="73">
        <f t="shared" si="12"/>
        <v>1272377.3699407976</v>
      </c>
      <c r="M21" s="73">
        <f t="shared" si="12"/>
        <v>254475.47398815953</v>
      </c>
      <c r="N21" s="73">
        <f t="shared" si="12"/>
        <v>1526852.8439289569</v>
      </c>
      <c r="O21" s="73">
        <f t="shared" si="12"/>
        <v>8.2341093843679989</v>
      </c>
      <c r="P21" s="27">
        <f>P20+P18+P12</f>
        <v>9.5918446554922046</v>
      </c>
    </row>
    <row r="22" spans="1:16" ht="20.100000000000001" customHeight="1" x14ac:dyDescent="0.25">
      <c r="A22" s="33" t="s">
        <v>27</v>
      </c>
      <c r="B22" s="37" t="s">
        <v>30</v>
      </c>
      <c r="C22" s="38">
        <f>'[2]2 категория '!W8</f>
        <v>2633</v>
      </c>
      <c r="D22" s="174"/>
      <c r="E22" s="175"/>
      <c r="F22" s="175"/>
      <c r="G22" s="175"/>
      <c r="H22" s="175"/>
      <c r="I22" s="175"/>
      <c r="J22" s="175"/>
      <c r="K22" s="176"/>
      <c r="L22" s="74">
        <f>'[2]2 категория '!X8</f>
        <v>1316.5</v>
      </c>
      <c r="M22" s="74">
        <f>L22*0.2</f>
        <v>263.3</v>
      </c>
      <c r="N22" s="74">
        <f>SUM(L22:M22)</f>
        <v>1579.8</v>
      </c>
      <c r="O22" s="75">
        <f>N22/E4/12</f>
        <v>6.6431888517552093E-3</v>
      </c>
      <c r="P22" s="31">
        <f>((O22*1.04)*1.055)*1.045</f>
        <v>7.6169076145123768E-3</v>
      </c>
    </row>
    <row r="23" spans="1:16" ht="20.100000000000001" customHeight="1" x14ac:dyDescent="0.25">
      <c r="A23" s="33" t="s">
        <v>29</v>
      </c>
      <c r="B23" s="37" t="s">
        <v>30</v>
      </c>
      <c r="C23" s="38">
        <f>'[2]2 категория '!W8</f>
        <v>2633</v>
      </c>
      <c r="D23" s="174"/>
      <c r="E23" s="175"/>
      <c r="F23" s="175"/>
      <c r="G23" s="175"/>
      <c r="H23" s="175"/>
      <c r="I23" s="175"/>
      <c r="J23" s="175"/>
      <c r="K23" s="176"/>
      <c r="L23" s="74">
        <f>'[2]2 категория '!Y8</f>
        <v>6100</v>
      </c>
      <c r="M23" s="74">
        <f>L23*0.2</f>
        <v>1220</v>
      </c>
      <c r="N23" s="74">
        <f>SUM(L23:M23)</f>
        <v>7320</v>
      </c>
      <c r="O23" s="75">
        <f>N23/E4/12</f>
        <v>3.078120166783652E-2</v>
      </c>
      <c r="P23" s="31">
        <f>((O23*1.04)*1.055)*1.045</f>
        <v>3.5292925521097987E-2</v>
      </c>
    </row>
    <row r="24" spans="1:16" ht="20.100000000000001" customHeight="1" x14ac:dyDescent="0.2">
      <c r="A24" s="39"/>
      <c r="B24" s="40"/>
      <c r="C24" s="40"/>
      <c r="D24" s="40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7"/>
    </row>
    <row r="25" spans="1:16" ht="15" hidden="1" customHeight="1" x14ac:dyDescent="0.3">
      <c r="A25" s="39"/>
      <c r="B25" s="40"/>
      <c r="C25" s="40"/>
      <c r="D25" s="40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7"/>
    </row>
    <row r="26" spans="1:16" ht="15" hidden="1" customHeight="1" x14ac:dyDescent="0.25">
      <c r="A26" s="157" t="s">
        <v>2</v>
      </c>
      <c r="B26" s="185" t="s">
        <v>3</v>
      </c>
      <c r="C26" s="185" t="s">
        <v>4</v>
      </c>
      <c r="D26" s="186" t="s">
        <v>5</v>
      </c>
      <c r="E26" s="215" t="s">
        <v>31</v>
      </c>
      <c r="F26" s="141" t="s">
        <v>7</v>
      </c>
      <c r="G26" s="158" t="s">
        <v>8</v>
      </c>
      <c r="H26" s="158" t="s">
        <v>9</v>
      </c>
      <c r="I26" s="158" t="s">
        <v>32</v>
      </c>
      <c r="J26" s="183" t="s">
        <v>11</v>
      </c>
      <c r="K26" s="158" t="s">
        <v>12</v>
      </c>
      <c r="L26" s="184" t="s">
        <v>82</v>
      </c>
      <c r="M26" s="158" t="s">
        <v>14</v>
      </c>
      <c r="N26" s="178" t="s">
        <v>15</v>
      </c>
      <c r="O26" s="144" t="s">
        <v>16</v>
      </c>
      <c r="P26" s="144" t="s">
        <v>16</v>
      </c>
    </row>
    <row r="27" spans="1:16" ht="15" hidden="1" customHeight="1" x14ac:dyDescent="0.25">
      <c r="A27" s="157"/>
      <c r="B27" s="185"/>
      <c r="C27" s="185"/>
      <c r="D27" s="186"/>
      <c r="E27" s="216"/>
      <c r="F27" s="142"/>
      <c r="G27" s="182"/>
      <c r="H27" s="159"/>
      <c r="I27" s="159"/>
      <c r="J27" s="183"/>
      <c r="K27" s="159"/>
      <c r="L27" s="184"/>
      <c r="M27" s="159"/>
      <c r="N27" s="178"/>
      <c r="O27" s="144"/>
      <c r="P27" s="144"/>
    </row>
    <row r="28" spans="1:16" ht="15" hidden="1" customHeight="1" x14ac:dyDescent="0.25">
      <c r="A28" s="157"/>
      <c r="B28" s="185"/>
      <c r="C28" s="185"/>
      <c r="D28" s="186"/>
      <c r="E28" s="78">
        <v>15724</v>
      </c>
      <c r="F28" s="44">
        <v>0.30280000000000001</v>
      </c>
      <c r="G28" s="45">
        <v>2.2599999999999999E-2</v>
      </c>
      <c r="H28" s="22">
        <v>2.7E-2</v>
      </c>
      <c r="I28" s="22">
        <v>0.47499999999999998</v>
      </c>
      <c r="J28" s="183"/>
      <c r="K28" s="22">
        <v>3.0000000000000001E-3</v>
      </c>
      <c r="L28" s="184"/>
      <c r="M28" s="23">
        <v>0.2</v>
      </c>
      <c r="N28" s="178"/>
      <c r="O28" s="144"/>
      <c r="P28" s="144"/>
    </row>
    <row r="29" spans="1:16" ht="15" hidden="1" customHeight="1" x14ac:dyDescent="0.3">
      <c r="A29" s="157"/>
      <c r="B29" s="46">
        <v>1</v>
      </c>
      <c r="C29" s="46">
        <v>2</v>
      </c>
      <c r="D29" s="46">
        <v>3</v>
      </c>
      <c r="E29" s="46">
        <v>4</v>
      </c>
      <c r="F29" s="46">
        <v>5</v>
      </c>
      <c r="G29" s="46">
        <v>6</v>
      </c>
      <c r="H29" s="46">
        <v>7</v>
      </c>
      <c r="I29" s="46">
        <v>8</v>
      </c>
      <c r="J29" s="46">
        <v>9</v>
      </c>
      <c r="K29" s="47">
        <v>10</v>
      </c>
      <c r="L29" s="46">
        <v>11</v>
      </c>
      <c r="M29" s="47">
        <v>12</v>
      </c>
      <c r="N29" s="46">
        <v>13</v>
      </c>
      <c r="O29" s="46">
        <v>14</v>
      </c>
      <c r="P29" s="46">
        <v>14</v>
      </c>
    </row>
    <row r="30" spans="1:16" ht="20.100000000000001" customHeight="1" x14ac:dyDescent="0.25">
      <c r="A30" s="26" t="s">
        <v>114</v>
      </c>
      <c r="B30" s="29">
        <f>'[2]2 категория '!H8</f>
        <v>808</v>
      </c>
      <c r="C30" s="29">
        <v>2504</v>
      </c>
      <c r="D30" s="31">
        <f>B30/C30*0.2</f>
        <v>6.4536741214057503E-2</v>
      </c>
      <c r="E30" s="72">
        <f>D30*$E$28*12</f>
        <v>12177.308626198082</v>
      </c>
      <c r="F30" s="31">
        <f>E30*$F$28</f>
        <v>3687.2890520127794</v>
      </c>
      <c r="G30" s="31">
        <f>E30*$G$28</f>
        <v>275.20717495207663</v>
      </c>
      <c r="H30" s="31">
        <f>E30*$H$28</f>
        <v>328.78733290734823</v>
      </c>
      <c r="I30" s="31">
        <f>E30*$I$28</f>
        <v>5784.2215974440887</v>
      </c>
      <c r="J30" s="31">
        <f>SUM(E30:I30)</f>
        <v>22252.813783514375</v>
      </c>
      <c r="K30" s="31">
        <f>J30*$K$28</f>
        <v>66.758441350543123</v>
      </c>
      <c r="L30" s="31">
        <f>SUM(J30:K30)</f>
        <v>22319.572224864918</v>
      </c>
      <c r="M30" s="31">
        <f>L30*$M$28</f>
        <v>4463.9144449729838</v>
      </c>
      <c r="N30" s="31">
        <f>SUM(L30:M30)</f>
        <v>26783.486669837901</v>
      </c>
      <c r="O30" s="31">
        <f>N30/$E$4/12</f>
        <v>0.11262676291695239</v>
      </c>
      <c r="P30" s="31">
        <f>((O30*1.04)*1.055)*1.045</f>
        <v>0.12913491806474175</v>
      </c>
    </row>
    <row r="31" spans="1:16" ht="20.100000000000001" customHeight="1" x14ac:dyDescent="0.25">
      <c r="A31" s="26" t="s">
        <v>116</v>
      </c>
      <c r="B31" s="48">
        <f>'[2]2 категория '!G8</f>
        <v>0</v>
      </c>
      <c r="C31" s="29">
        <v>2504</v>
      </c>
      <c r="D31" s="31">
        <f>B31/C31*0.59*4</f>
        <v>0</v>
      </c>
      <c r="E31" s="72">
        <f>D31*$E$28*12</f>
        <v>0</v>
      </c>
      <c r="F31" s="31">
        <f>E31*$F$28</f>
        <v>0</v>
      </c>
      <c r="G31" s="31">
        <f>E31*$G$28</f>
        <v>0</v>
      </c>
      <c r="H31" s="31">
        <f>E31*$H$28</f>
        <v>0</v>
      </c>
      <c r="I31" s="31">
        <f>E31*$I$28</f>
        <v>0</v>
      </c>
      <c r="J31" s="31">
        <f>SUM(E31:I31)</f>
        <v>0</v>
      </c>
      <c r="K31" s="31">
        <f>J31*$K$28</f>
        <v>0</v>
      </c>
      <c r="L31" s="31">
        <f>SUM(J31:K31)</f>
        <v>0</v>
      </c>
      <c r="M31" s="31">
        <f>L31*$M$28</f>
        <v>0</v>
      </c>
      <c r="N31" s="31">
        <f>SUM(L31:M31)</f>
        <v>0</v>
      </c>
      <c r="O31" s="31">
        <f>N31/$E$4/12</f>
        <v>0</v>
      </c>
      <c r="P31" s="31">
        <f>(O31*1.04)*1.055</f>
        <v>0</v>
      </c>
    </row>
    <row r="32" spans="1:16" ht="20.100000000000001" customHeight="1" x14ac:dyDescent="0.25">
      <c r="A32" s="33" t="s">
        <v>35</v>
      </c>
      <c r="B32" s="33"/>
      <c r="C32" s="33"/>
      <c r="D32" s="134">
        <f>SUM(D30:D31)</f>
        <v>6.4536741214057503E-2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134">
        <f>SUM(O30:O31)</f>
        <v>0.11262676291695239</v>
      </c>
      <c r="P32" s="31">
        <f>((O32*1.04)*1.055)*1.045</f>
        <v>0.12913491806474175</v>
      </c>
    </row>
    <row r="33" spans="1:16" ht="20.100000000000001" customHeight="1" x14ac:dyDescent="0.25">
      <c r="A33" s="179" t="s">
        <v>36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4"/>
    </row>
    <row r="34" spans="1:16" ht="15" hidden="1" customHeight="1" x14ac:dyDescent="0.25">
      <c r="A34" s="157" t="s">
        <v>2</v>
      </c>
      <c r="B34" s="158" t="s">
        <v>3</v>
      </c>
      <c r="C34" s="158" t="s">
        <v>4</v>
      </c>
      <c r="D34" s="158" t="s">
        <v>5</v>
      </c>
      <c r="E34" s="215" t="s">
        <v>31</v>
      </c>
      <c r="F34" s="163" t="s">
        <v>7</v>
      </c>
      <c r="G34" s="165" t="s">
        <v>8</v>
      </c>
      <c r="H34" s="165" t="s">
        <v>9</v>
      </c>
      <c r="I34" s="165" t="s">
        <v>32</v>
      </c>
      <c r="J34" s="158" t="s">
        <v>11</v>
      </c>
      <c r="K34" s="158" t="s">
        <v>12</v>
      </c>
      <c r="L34" s="167" t="s">
        <v>82</v>
      </c>
      <c r="M34" s="158" t="s">
        <v>14</v>
      </c>
      <c r="N34" s="167" t="s">
        <v>15</v>
      </c>
      <c r="O34" s="141" t="s">
        <v>16</v>
      </c>
      <c r="P34" s="141" t="s">
        <v>16</v>
      </c>
    </row>
    <row r="35" spans="1:16" ht="15" hidden="1" customHeight="1" x14ac:dyDescent="0.25">
      <c r="A35" s="157"/>
      <c r="B35" s="159"/>
      <c r="C35" s="159"/>
      <c r="D35" s="159"/>
      <c r="E35" s="216"/>
      <c r="F35" s="164"/>
      <c r="G35" s="166"/>
      <c r="H35" s="177"/>
      <c r="I35" s="177"/>
      <c r="J35" s="159"/>
      <c r="K35" s="159"/>
      <c r="L35" s="168"/>
      <c r="M35" s="159"/>
      <c r="N35" s="168"/>
      <c r="O35" s="142"/>
      <c r="P35" s="142"/>
    </row>
    <row r="36" spans="1:16" ht="15" hidden="1" customHeight="1" x14ac:dyDescent="0.25">
      <c r="A36" s="157"/>
      <c r="B36" s="160"/>
      <c r="C36" s="160"/>
      <c r="D36" s="160"/>
      <c r="E36" s="70">
        <v>15458</v>
      </c>
      <c r="F36" s="19">
        <v>0.30280000000000001</v>
      </c>
      <c r="G36" s="50">
        <v>0.19400000000000001</v>
      </c>
      <c r="H36" s="21">
        <v>0.16</v>
      </c>
      <c r="I36" s="21">
        <v>0.47499999999999998</v>
      </c>
      <c r="J36" s="160"/>
      <c r="K36" s="22">
        <v>3.0000000000000001E-3</v>
      </c>
      <c r="L36" s="169"/>
      <c r="M36" s="23">
        <v>0.2</v>
      </c>
      <c r="N36" s="169"/>
      <c r="O36" s="143"/>
      <c r="P36" s="143"/>
    </row>
    <row r="37" spans="1:16" ht="15" hidden="1" customHeight="1" x14ac:dyDescent="0.3">
      <c r="A37" s="157"/>
      <c r="B37" s="24">
        <v>1</v>
      </c>
      <c r="C37" s="24">
        <v>2</v>
      </c>
      <c r="D37" s="24">
        <v>3</v>
      </c>
      <c r="E37" s="24">
        <v>4</v>
      </c>
      <c r="F37" s="24">
        <v>5</v>
      </c>
      <c r="G37" s="24">
        <v>6</v>
      </c>
      <c r="H37" s="24">
        <v>7</v>
      </c>
      <c r="I37" s="24">
        <v>8</v>
      </c>
      <c r="J37" s="24">
        <v>9</v>
      </c>
      <c r="K37" s="24">
        <v>10</v>
      </c>
      <c r="L37" s="24">
        <v>11</v>
      </c>
      <c r="M37" s="24">
        <v>12</v>
      </c>
      <c r="N37" s="24">
        <v>13</v>
      </c>
      <c r="O37" s="24">
        <v>14</v>
      </c>
      <c r="P37" s="24">
        <v>14</v>
      </c>
    </row>
    <row r="38" spans="1:16" ht="20.100000000000001" customHeight="1" x14ac:dyDescent="0.25">
      <c r="A38" s="51" t="s">
        <v>83</v>
      </c>
      <c r="B38" s="52" t="s">
        <v>18</v>
      </c>
      <c r="C38" s="52" t="s">
        <v>18</v>
      </c>
      <c r="D38" s="53">
        <f>('[2]2 категория '!F8*81.8%)-D54-D65-D69</f>
        <v>1.9414199999999999</v>
      </c>
      <c r="E38" s="52">
        <f>D38*$E$36*12</f>
        <v>360125.64431999996</v>
      </c>
      <c r="F38" s="52">
        <f>E38*$F$36</f>
        <v>109046.04510009599</v>
      </c>
      <c r="G38" s="52">
        <f>E38*$G$36</f>
        <v>69864.374998079991</v>
      </c>
      <c r="H38" s="52">
        <f>E38*$H$36</f>
        <v>57620.103091199999</v>
      </c>
      <c r="I38" s="52">
        <f>E38*$I$36</f>
        <v>171059.68105199997</v>
      </c>
      <c r="J38" s="52">
        <f>SUM(E38:I38)</f>
        <v>767715.84856137587</v>
      </c>
      <c r="K38" s="52">
        <f>J38*$K$36</f>
        <v>2303.1475456841276</v>
      </c>
      <c r="L38" s="52">
        <f>SUM(J38:K38)</f>
        <v>770018.99610706</v>
      </c>
      <c r="M38" s="52">
        <f>L38*$M$36</f>
        <v>154003.79922141202</v>
      </c>
      <c r="N38" s="52">
        <f>SUM(L38:M38)</f>
        <v>924022.79532847204</v>
      </c>
      <c r="O38" s="52">
        <f>N38/$E$4/12</f>
        <v>3.88559180446499</v>
      </c>
      <c r="P38" s="31">
        <f>(3.94*1.055)*1.045</f>
        <v>4.3437514999999998</v>
      </c>
    </row>
    <row r="39" spans="1:16" ht="20.100000000000001" customHeight="1" x14ac:dyDescent="0.25">
      <c r="A39" s="179" t="s">
        <v>39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34"/>
    </row>
    <row r="40" spans="1:16" ht="27.75" customHeight="1" x14ac:dyDescent="0.2">
      <c r="A40" s="190" t="s">
        <v>40</v>
      </c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211"/>
    </row>
    <row r="41" spans="1:16" ht="20.100000000000001" customHeight="1" x14ac:dyDescent="0.25">
      <c r="A41" s="55" t="s">
        <v>41</v>
      </c>
      <c r="B41" s="187" t="s">
        <v>42</v>
      </c>
      <c r="C41" s="188"/>
      <c r="D41" s="55">
        <v>0.42099999999999999</v>
      </c>
      <c r="E41" s="31">
        <f>D41*E36*12</f>
        <v>78093.816000000006</v>
      </c>
      <c r="F41" s="31">
        <f>E41*$F$36</f>
        <v>23646.807484800003</v>
      </c>
      <c r="G41" s="31">
        <f>E41*$G$36</f>
        <v>15150.200304000002</v>
      </c>
      <c r="H41" s="31">
        <f>E41*$H$36</f>
        <v>12495.010560000001</v>
      </c>
      <c r="I41" s="31">
        <f>E41*$I$36</f>
        <v>37094.562600000005</v>
      </c>
      <c r="J41" s="31">
        <f>SUM(E41:I41)</f>
        <v>166480.39694880001</v>
      </c>
      <c r="K41" s="31">
        <f>J41*$K$36</f>
        <v>499.44119084640005</v>
      </c>
      <c r="L41" s="31">
        <f>SUM(J41:K41)</f>
        <v>166979.83813964642</v>
      </c>
      <c r="M41" s="31">
        <f>L41*$M$36</f>
        <v>33395.967627929283</v>
      </c>
      <c r="N41" s="31">
        <f>SUM(L41:M41)</f>
        <v>200375.80576757572</v>
      </c>
      <c r="O41" s="134">
        <f>N41/$E$4/12</f>
        <v>0.84259673315396011</v>
      </c>
      <c r="P41" s="37">
        <v>0.95</v>
      </c>
    </row>
    <row r="42" spans="1:16" ht="20.100000000000001" customHeight="1" x14ac:dyDescent="0.25">
      <c r="A42" s="55" t="s">
        <v>43</v>
      </c>
      <c r="B42" s="187" t="s">
        <v>42</v>
      </c>
      <c r="C42" s="188"/>
      <c r="D42" s="55">
        <v>8.9999999999999993E-3</v>
      </c>
      <c r="E42" s="56">
        <f>D42*E36*12</f>
        <v>1669.4639999999999</v>
      </c>
      <c r="F42" s="56">
        <f>E42*$F$36</f>
        <v>505.51369920000002</v>
      </c>
      <c r="G42" s="56">
        <f>E42*$G$36</f>
        <v>323.87601599999999</v>
      </c>
      <c r="H42" s="56">
        <f>E42*$H$36</f>
        <v>267.11424</v>
      </c>
      <c r="I42" s="56">
        <f>E42*$I$36</f>
        <v>792.9953999999999</v>
      </c>
      <c r="J42" s="56">
        <f>SUM(E42:I42)</f>
        <v>3558.9633551999996</v>
      </c>
      <c r="K42" s="56">
        <f>J42*$K$36</f>
        <v>10.676890065599999</v>
      </c>
      <c r="L42" s="56">
        <f>SUM(J42:K42)</f>
        <v>3569.6402452655998</v>
      </c>
      <c r="M42" s="56">
        <f>L42*$M$36</f>
        <v>713.92804905312005</v>
      </c>
      <c r="N42" s="56">
        <f>SUM(L42:M42)</f>
        <v>4283.5682943187203</v>
      </c>
      <c r="O42" s="57">
        <f>N42/$E$4/12</f>
        <v>1.8012756765761615E-2</v>
      </c>
      <c r="P42" s="37">
        <f>0.02*1.045</f>
        <v>2.0899999999999998E-2</v>
      </c>
    </row>
    <row r="43" spans="1:16" ht="20.100000000000001" customHeight="1" x14ac:dyDescent="0.25">
      <c r="A43" s="58" t="s">
        <v>44</v>
      </c>
      <c r="B43" s="187" t="s">
        <v>30</v>
      </c>
      <c r="C43" s="188"/>
      <c r="D43" s="55">
        <v>4.2000000000000003E-2</v>
      </c>
      <c r="E43" s="31">
        <f>D43*E36*12</f>
        <v>7790.8320000000003</v>
      </c>
      <c r="F43" s="31">
        <f>E43*$F$36</f>
        <v>2359.0639296000004</v>
      </c>
      <c r="G43" s="31">
        <f>E43*$G$36</f>
        <v>1511.4214080000002</v>
      </c>
      <c r="H43" s="31">
        <f>E43*$H$36</f>
        <v>1246.5331200000001</v>
      </c>
      <c r="I43" s="31">
        <f>E43*$I$36</f>
        <v>3700.6451999999999</v>
      </c>
      <c r="J43" s="31">
        <f>SUM(E43:I43)</f>
        <v>16608.4956576</v>
      </c>
      <c r="K43" s="31">
        <f>J43*$K$36</f>
        <v>49.8254869728</v>
      </c>
      <c r="L43" s="31">
        <f>SUM(J43:K43)</f>
        <v>16658.321144572801</v>
      </c>
      <c r="M43" s="31">
        <f>L43*$M$36</f>
        <v>3331.6642289145602</v>
      </c>
      <c r="N43" s="31">
        <f>SUM(L43:M43)</f>
        <v>19989.985373487361</v>
      </c>
      <c r="O43" s="134">
        <f>N43/$E$4/12</f>
        <v>8.4059531573554211E-2</v>
      </c>
      <c r="P43" s="37">
        <f>0.08*1.045</f>
        <v>8.3599999999999994E-2</v>
      </c>
    </row>
    <row r="44" spans="1:16" ht="32.25" customHeight="1" x14ac:dyDescent="0.2">
      <c r="A44" s="189" t="s">
        <v>45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</row>
    <row r="45" spans="1:16" ht="20.100000000000001" customHeight="1" x14ac:dyDescent="0.25">
      <c r="A45" s="58" t="s">
        <v>46</v>
      </c>
      <c r="B45" s="187" t="s">
        <v>30</v>
      </c>
      <c r="C45" s="188"/>
      <c r="D45" s="59">
        <v>4.0000000000000001E-3</v>
      </c>
      <c r="E45" s="31">
        <f>D45*$E$36*12</f>
        <v>741.98400000000004</v>
      </c>
      <c r="F45" s="31">
        <f>E45*$F$36</f>
        <v>224.67275520000001</v>
      </c>
      <c r="G45" s="31">
        <f>E45*$G$36</f>
        <v>143.944896</v>
      </c>
      <c r="H45" s="31">
        <f>E45*$H$36</f>
        <v>118.71744000000001</v>
      </c>
      <c r="I45" s="31">
        <f>E45*$I$36</f>
        <v>352.44240000000002</v>
      </c>
      <c r="J45" s="31">
        <f>SUM(E45:I45)</f>
        <v>1581.7614911999999</v>
      </c>
      <c r="K45" s="31">
        <f>J45*$K$36</f>
        <v>4.7452844735999999</v>
      </c>
      <c r="L45" s="31">
        <f>SUM(J45:K45)</f>
        <v>1586.5067756735998</v>
      </c>
      <c r="M45" s="31">
        <f>L45*$M$36</f>
        <v>317.30135513471998</v>
      </c>
      <c r="N45" s="31">
        <f>SUM(L45:M45)</f>
        <v>1903.8081308083197</v>
      </c>
      <c r="O45" s="37">
        <f>N45/$E$4/12</f>
        <v>8.0056696736718284E-3</v>
      </c>
      <c r="P45" s="31">
        <f>0.01*1.045</f>
        <v>1.0449999999999999E-2</v>
      </c>
    </row>
    <row r="46" spans="1:16" ht="20.100000000000001" customHeight="1" x14ac:dyDescent="0.25">
      <c r="A46" s="58" t="s">
        <v>47</v>
      </c>
      <c r="B46" s="187" t="s">
        <v>30</v>
      </c>
      <c r="C46" s="188"/>
      <c r="D46" s="59">
        <v>2E-3</v>
      </c>
      <c r="E46" s="31">
        <f t="shared" ref="E46:E49" si="13">D46*$E$36*12</f>
        <v>370.99200000000002</v>
      </c>
      <c r="F46" s="31">
        <f t="shared" ref="F46:F49" si="14">E46*$F$36</f>
        <v>112.33637760000001</v>
      </c>
      <c r="G46" s="31">
        <f t="shared" ref="G46:G49" si="15">E46*$G$36</f>
        <v>71.972448</v>
      </c>
      <c r="H46" s="31">
        <f t="shared" ref="H46:H48" si="16">E46*$H$36</f>
        <v>59.358720000000005</v>
      </c>
      <c r="I46" s="31">
        <f t="shared" ref="I46:I49" si="17">E46*$I$36</f>
        <v>176.22120000000001</v>
      </c>
      <c r="J46" s="31">
        <f t="shared" ref="J46:J48" si="18">SUM(E46:I46)</f>
        <v>790.88074559999995</v>
      </c>
      <c r="K46" s="31">
        <f t="shared" ref="K46:K49" si="19">J46*$K$36</f>
        <v>2.3726422368</v>
      </c>
      <c r="L46" s="31">
        <f t="shared" ref="L46:L49" si="20">SUM(J46:K46)</f>
        <v>793.2533878367999</v>
      </c>
      <c r="M46" s="31">
        <f t="shared" ref="M46:M49" si="21">L46*$M$36</f>
        <v>158.65067756735999</v>
      </c>
      <c r="N46" s="31">
        <f t="shared" ref="N46:N49" si="22">SUM(L46:M46)</f>
        <v>951.90406540415984</v>
      </c>
      <c r="O46" s="37">
        <f>N46/$E$4/12</f>
        <v>4.0028348368359142E-3</v>
      </c>
      <c r="P46" s="31">
        <v>0.01</v>
      </c>
    </row>
    <row r="47" spans="1:16" ht="20.100000000000001" customHeight="1" x14ac:dyDescent="0.25">
      <c r="A47" s="58" t="s">
        <v>48</v>
      </c>
      <c r="B47" s="187" t="s">
        <v>30</v>
      </c>
      <c r="C47" s="188"/>
      <c r="D47" s="55">
        <v>2.5999999999999999E-2</v>
      </c>
      <c r="E47" s="31">
        <f t="shared" si="13"/>
        <v>4822.8959999999997</v>
      </c>
      <c r="F47" s="31">
        <f>E47*$F$36</f>
        <v>1460.3729088</v>
      </c>
      <c r="G47" s="31">
        <f t="shared" si="15"/>
        <v>935.64182399999993</v>
      </c>
      <c r="H47" s="31">
        <f t="shared" si="16"/>
        <v>771.66336000000001</v>
      </c>
      <c r="I47" s="31">
        <f t="shared" si="17"/>
        <v>2290.8755999999998</v>
      </c>
      <c r="J47" s="31">
        <f t="shared" si="18"/>
        <v>10281.449692799999</v>
      </c>
      <c r="K47" s="31">
        <f t="shared" si="19"/>
        <v>30.844349078399997</v>
      </c>
      <c r="L47" s="31">
        <f t="shared" si="20"/>
        <v>10312.294041878398</v>
      </c>
      <c r="M47" s="31">
        <f t="shared" si="21"/>
        <v>2062.4588083756798</v>
      </c>
      <c r="N47" s="31">
        <f t="shared" si="22"/>
        <v>12374.752850254077</v>
      </c>
      <c r="O47" s="37">
        <f t="shared" ref="O47" si="23">N47/$E$4/12</f>
        <v>5.203685287886687E-2</v>
      </c>
      <c r="P47" s="31">
        <f>0.06*1.045</f>
        <v>6.2699999999999992E-2</v>
      </c>
    </row>
    <row r="48" spans="1:16" ht="20.100000000000001" customHeight="1" x14ac:dyDescent="0.25">
      <c r="A48" s="58" t="s">
        <v>49</v>
      </c>
      <c r="B48" s="187" t="s">
        <v>30</v>
      </c>
      <c r="C48" s="188"/>
      <c r="D48" s="59">
        <v>1.0999999999999999E-2</v>
      </c>
      <c r="E48" s="31">
        <f t="shared" si="13"/>
        <v>2040.4559999999997</v>
      </c>
      <c r="F48" s="31">
        <f t="shared" si="14"/>
        <v>617.8500767999999</v>
      </c>
      <c r="G48" s="31">
        <f t="shared" si="15"/>
        <v>395.84846399999992</v>
      </c>
      <c r="H48" s="31">
        <f t="shared" si="16"/>
        <v>326.47295999999994</v>
      </c>
      <c r="I48" s="31">
        <f t="shared" si="17"/>
        <v>969.21659999999986</v>
      </c>
      <c r="J48" s="31">
        <f t="shared" si="18"/>
        <v>4349.8441007999991</v>
      </c>
      <c r="K48" s="31">
        <f t="shared" si="19"/>
        <v>13.049532302399998</v>
      </c>
      <c r="L48" s="31">
        <f t="shared" si="20"/>
        <v>4362.8936331023988</v>
      </c>
      <c r="M48" s="31">
        <f t="shared" si="21"/>
        <v>872.57872662047976</v>
      </c>
      <c r="N48" s="31">
        <f t="shared" si="22"/>
        <v>5235.4723597228785</v>
      </c>
      <c r="O48" s="37">
        <f>N48/$E$4/12</f>
        <v>2.2015591602597525E-2</v>
      </c>
      <c r="P48" s="31">
        <f>0.03*1.045</f>
        <v>3.1349999999999996E-2</v>
      </c>
    </row>
    <row r="49" spans="1:18" ht="20.100000000000001" customHeight="1" x14ac:dyDescent="0.25">
      <c r="A49" s="58" t="s">
        <v>50</v>
      </c>
      <c r="B49" s="187" t="s">
        <v>30</v>
      </c>
      <c r="C49" s="188"/>
      <c r="D49" s="59">
        <v>4.4999999999999998E-2</v>
      </c>
      <c r="E49" s="31">
        <f t="shared" si="13"/>
        <v>8347.32</v>
      </c>
      <c r="F49" s="31">
        <f t="shared" si="14"/>
        <v>2527.5684959999999</v>
      </c>
      <c r="G49" s="31">
        <f t="shared" si="15"/>
        <v>1619.3800799999999</v>
      </c>
      <c r="H49" s="31">
        <f>E49*$H$36</f>
        <v>1335.5712000000001</v>
      </c>
      <c r="I49" s="31">
        <f t="shared" si="17"/>
        <v>3964.9769999999999</v>
      </c>
      <c r="J49" s="31">
        <f>SUM(E49:I49)</f>
        <v>17794.816776</v>
      </c>
      <c r="K49" s="31">
        <f t="shared" si="19"/>
        <v>53.384450328</v>
      </c>
      <c r="L49" s="31">
        <f t="shared" si="20"/>
        <v>17848.201226328001</v>
      </c>
      <c r="M49" s="31">
        <f t="shared" si="21"/>
        <v>3569.6402452656002</v>
      </c>
      <c r="N49" s="31">
        <f t="shared" si="22"/>
        <v>21417.841471593601</v>
      </c>
      <c r="O49" s="37">
        <f>N49/$E$4/12</f>
        <v>9.0063783828808086E-2</v>
      </c>
      <c r="P49" s="31">
        <f>0.1*1.045</f>
        <v>0.1045</v>
      </c>
    </row>
    <row r="50" spans="1:18" ht="20.100000000000001" customHeight="1" x14ac:dyDescent="0.2">
      <c r="A50" s="151" t="s">
        <v>51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3"/>
    </row>
    <row r="51" spans="1:18" ht="20.100000000000001" customHeight="1" x14ac:dyDescent="0.25">
      <c r="A51" s="58" t="s">
        <v>52</v>
      </c>
      <c r="B51" s="187" t="s">
        <v>30</v>
      </c>
      <c r="C51" s="188"/>
      <c r="D51" s="59">
        <v>0.1</v>
      </c>
      <c r="E51" s="31">
        <f>D51*$E$36*12</f>
        <v>18549.600000000002</v>
      </c>
      <c r="F51" s="31">
        <f>E51*$F$36</f>
        <v>5616.8188800000007</v>
      </c>
      <c r="G51" s="31">
        <f>E51*$G$36</f>
        <v>3598.6224000000007</v>
      </c>
      <c r="H51" s="31">
        <f>E51*$H$36</f>
        <v>2967.9360000000006</v>
      </c>
      <c r="I51" s="31">
        <f>E51*$I$36</f>
        <v>8811.0600000000013</v>
      </c>
      <c r="J51" s="31">
        <f>SUM(E51:I51)</f>
        <v>39544.037280000004</v>
      </c>
      <c r="K51" s="31">
        <f>J51*$K$36</f>
        <v>118.63211184000002</v>
      </c>
      <c r="L51" s="31">
        <f>SUM(J51:K51)</f>
        <v>39662.669391840005</v>
      </c>
      <c r="M51" s="31">
        <f>L51*$M$36</f>
        <v>7932.5338783680018</v>
      </c>
      <c r="N51" s="31">
        <f>SUM(L51:M51)</f>
        <v>47595.203270208003</v>
      </c>
      <c r="O51" s="37">
        <f>N51/$E$4/12</f>
        <v>0.20014174184179576</v>
      </c>
      <c r="P51" s="31">
        <f>0.22*1.045</f>
        <v>0.22989999999999999</v>
      </c>
    </row>
    <row r="52" spans="1:18" ht="35.25" customHeight="1" x14ac:dyDescent="0.25">
      <c r="A52" s="58" t="s">
        <v>53</v>
      </c>
      <c r="B52" s="187" t="s">
        <v>30</v>
      </c>
      <c r="C52" s="188"/>
      <c r="D52" s="59">
        <v>5.0000000000000001E-3</v>
      </c>
      <c r="E52" s="31">
        <f>D52*$E$36*12</f>
        <v>927.48</v>
      </c>
      <c r="F52" s="31">
        <f t="shared" ref="F52:F53" si="24">E52*$F$36</f>
        <v>280.84094400000004</v>
      </c>
      <c r="G52" s="31">
        <f t="shared" ref="G52:G53" si="25">E52*$G$36</f>
        <v>179.93112000000002</v>
      </c>
      <c r="H52" s="31">
        <f t="shared" ref="H52:H53" si="26">E52*$H$36</f>
        <v>148.39680000000001</v>
      </c>
      <c r="I52" s="31">
        <f t="shared" ref="I52:I53" si="27">E52*$I$36</f>
        <v>440.553</v>
      </c>
      <c r="J52" s="31">
        <f t="shared" ref="J52:J53" si="28">SUM(E52:I52)</f>
        <v>1977.2018640000001</v>
      </c>
      <c r="K52" s="31">
        <f t="shared" ref="K52:K53" si="29">J52*$K$36</f>
        <v>5.9316055920000004</v>
      </c>
      <c r="L52" s="31">
        <f t="shared" ref="L52:L53" si="30">SUM(J52:K52)</f>
        <v>1983.1334695920002</v>
      </c>
      <c r="M52" s="31">
        <f t="shared" ref="M52:M53" si="31">L52*$M$36</f>
        <v>396.62669391840006</v>
      </c>
      <c r="N52" s="31">
        <f t="shared" ref="N52:N53" si="32">SUM(L52:M52)</f>
        <v>2379.7601635104002</v>
      </c>
      <c r="O52" s="37">
        <f t="shared" ref="O52:O53" si="33">N52/$E$4/12</f>
        <v>1.0007087092089787E-2</v>
      </c>
      <c r="P52" s="31">
        <f>((O52*1.04)*1.055)*1.045</f>
        <v>1.1473865875525754E-2</v>
      </c>
    </row>
    <row r="53" spans="1:18" ht="20.100000000000001" customHeight="1" x14ac:dyDescent="0.25">
      <c r="A53" s="58" t="s">
        <v>54</v>
      </c>
      <c r="B53" s="187" t="s">
        <v>30</v>
      </c>
      <c r="C53" s="188"/>
      <c r="D53" s="59">
        <v>4.0000000000000001E-3</v>
      </c>
      <c r="E53" s="31">
        <f t="shared" ref="E53" si="34">D53*$E$36*12</f>
        <v>741.98400000000004</v>
      </c>
      <c r="F53" s="31">
        <f t="shared" si="24"/>
        <v>224.67275520000001</v>
      </c>
      <c r="G53" s="31">
        <f t="shared" si="25"/>
        <v>143.944896</v>
      </c>
      <c r="H53" s="31">
        <f t="shared" si="26"/>
        <v>118.71744000000001</v>
      </c>
      <c r="I53" s="31">
        <f t="shared" si="27"/>
        <v>352.44240000000002</v>
      </c>
      <c r="J53" s="31">
        <f t="shared" si="28"/>
        <v>1581.7614911999999</v>
      </c>
      <c r="K53" s="31">
        <f t="shared" si="29"/>
        <v>4.7452844735999999</v>
      </c>
      <c r="L53" s="31">
        <f t="shared" si="30"/>
        <v>1586.5067756735998</v>
      </c>
      <c r="M53" s="31">
        <f t="shared" si="31"/>
        <v>317.30135513471998</v>
      </c>
      <c r="N53" s="31">
        <f t="shared" si="32"/>
        <v>1903.8081308083197</v>
      </c>
      <c r="O53" s="37">
        <f t="shared" si="33"/>
        <v>8.0056696736718284E-3</v>
      </c>
      <c r="P53" s="31">
        <f>((O53*1.04)*1.055)*1.045</f>
        <v>9.1790927004206015E-3</v>
      </c>
    </row>
    <row r="54" spans="1:18" ht="20.100000000000001" customHeight="1" x14ac:dyDescent="0.25">
      <c r="A54" s="60" t="s">
        <v>22</v>
      </c>
      <c r="B54" s="203"/>
      <c r="C54" s="219"/>
      <c r="D54" s="33">
        <f>D41+D42+D43+D45+D46+D47+D48+D49+D51+D52+D53</f>
        <v>0.66900000000000004</v>
      </c>
      <c r="E54" s="33">
        <f t="shared" ref="E54:O54" si="35">E41+E42+E43+E45+E46+E47+E48+E49+E51+E52+E53</f>
        <v>124096.82399999998</v>
      </c>
      <c r="F54" s="33">
        <f t="shared" si="35"/>
        <v>37576.518307200015</v>
      </c>
      <c r="G54" s="33">
        <f t="shared" si="35"/>
        <v>24074.783856000002</v>
      </c>
      <c r="H54" s="33">
        <f t="shared" si="35"/>
        <v>19855.491840000002</v>
      </c>
      <c r="I54" s="33">
        <f t="shared" si="35"/>
        <v>58945.991399999999</v>
      </c>
      <c r="J54" s="33">
        <f t="shared" si="35"/>
        <v>264549.60940320004</v>
      </c>
      <c r="K54" s="33">
        <f t="shared" si="35"/>
        <v>793.64882820959997</v>
      </c>
      <c r="L54" s="33">
        <f t="shared" si="35"/>
        <v>265343.25823140959</v>
      </c>
      <c r="M54" s="33">
        <f t="shared" si="35"/>
        <v>53068.65164628192</v>
      </c>
      <c r="N54" s="33">
        <f t="shared" si="35"/>
        <v>318411.90987769148</v>
      </c>
      <c r="O54" s="134">
        <f t="shared" si="35"/>
        <v>1.3389482529216135</v>
      </c>
      <c r="P54" s="31">
        <f>P53+P52+P51+P49+P48+P47+P46+P45+P43+P42+P41</f>
        <v>1.5240529585759464</v>
      </c>
    </row>
    <row r="55" spans="1:18" ht="20.100000000000001" customHeight="1" x14ac:dyDescent="0.2">
      <c r="A55" s="151" t="s">
        <v>56</v>
      </c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3"/>
    </row>
    <row r="56" spans="1:18" ht="20.100000000000001" customHeight="1" x14ac:dyDescent="0.25">
      <c r="A56" s="58" t="s">
        <v>57</v>
      </c>
      <c r="B56" s="187" t="s">
        <v>58</v>
      </c>
      <c r="C56" s="188"/>
      <c r="D56" s="59">
        <v>0.06</v>
      </c>
      <c r="E56" s="52">
        <f>D56*$E$36*12</f>
        <v>11129.76</v>
      </c>
      <c r="F56" s="52">
        <f>E56*$F$36</f>
        <v>3370.0913280000004</v>
      </c>
      <c r="G56" s="52">
        <f>E56*$G$36</f>
        <v>2159.17344</v>
      </c>
      <c r="H56" s="52">
        <f>E56*$H$36</f>
        <v>1780.7616</v>
      </c>
      <c r="I56" s="52">
        <f>E56*$I$36</f>
        <v>5286.6359999999995</v>
      </c>
      <c r="J56" s="52">
        <f>SUM(E56:I56)</f>
        <v>23726.422368</v>
      </c>
      <c r="K56" s="52">
        <f>J56*$K$36</f>
        <v>71.179267104000004</v>
      </c>
      <c r="L56" s="52">
        <f>SUM(J56:K56)</f>
        <v>23797.601635103998</v>
      </c>
      <c r="M56" s="52">
        <f>L56*$M$36</f>
        <v>4759.5203270207994</v>
      </c>
      <c r="N56" s="52">
        <f>SUM(L56:M56)</f>
        <v>28557.121962124798</v>
      </c>
      <c r="O56" s="52">
        <f>N56/$E$4/12</f>
        <v>0.12008504510507743</v>
      </c>
      <c r="P56" s="31">
        <v>0.11</v>
      </c>
    </row>
    <row r="57" spans="1:18" ht="20.100000000000001" customHeight="1" x14ac:dyDescent="0.25">
      <c r="A57" s="63" t="s">
        <v>59</v>
      </c>
      <c r="B57" s="187" t="s">
        <v>60</v>
      </c>
      <c r="C57" s="188"/>
      <c r="D57" s="59">
        <v>5.0000000000000001E-3</v>
      </c>
      <c r="E57" s="52">
        <f t="shared" ref="E57:E59" si="36">D57*$E$36*12</f>
        <v>927.48</v>
      </c>
      <c r="F57" s="52">
        <f t="shared" ref="F57:F60" si="37">E57*$F$36</f>
        <v>280.84094400000004</v>
      </c>
      <c r="G57" s="52">
        <f t="shared" ref="G57:G60" si="38">E57*$G$36</f>
        <v>179.93112000000002</v>
      </c>
      <c r="H57" s="52">
        <f t="shared" ref="H57:H60" si="39">E57*$H$36</f>
        <v>148.39680000000001</v>
      </c>
      <c r="I57" s="52">
        <f t="shared" ref="I57:I60" si="40">E57*$I$36</f>
        <v>440.553</v>
      </c>
      <c r="J57" s="52">
        <f t="shared" ref="J57:J60" si="41">SUM(E57:I57)</f>
        <v>1977.2018640000001</v>
      </c>
      <c r="K57" s="52">
        <f t="shared" ref="K57:K60" si="42">J57*$K$36</f>
        <v>5.9316055920000004</v>
      </c>
      <c r="L57" s="52">
        <f t="shared" ref="L57:L60" si="43">SUM(J57:K57)</f>
        <v>1983.1334695920002</v>
      </c>
      <c r="M57" s="52">
        <f t="shared" ref="M57:M59" si="44">L57*$M$36</f>
        <v>396.62669391840006</v>
      </c>
      <c r="N57" s="52">
        <f t="shared" ref="N57:N60" si="45">SUM(L57:M57)</f>
        <v>2379.7601635104002</v>
      </c>
      <c r="O57" s="52">
        <f t="shared" ref="O57:O60" si="46">N57/$E$4/12</f>
        <v>1.0007087092089787E-2</v>
      </c>
      <c r="P57" s="31">
        <f>(O57*1.04)*1.055</f>
        <v>1.0979775957440914E-2</v>
      </c>
    </row>
    <row r="58" spans="1:18" ht="20.100000000000001" customHeight="1" x14ac:dyDescent="0.25">
      <c r="A58" s="58" t="s">
        <v>61</v>
      </c>
      <c r="B58" s="187" t="s">
        <v>60</v>
      </c>
      <c r="C58" s="188"/>
      <c r="D58" s="59">
        <v>2.5999999999999999E-2</v>
      </c>
      <c r="E58" s="52">
        <f>D58*$E$36*12</f>
        <v>4822.8959999999997</v>
      </c>
      <c r="F58" s="52">
        <f t="shared" si="37"/>
        <v>1460.3729088</v>
      </c>
      <c r="G58" s="52">
        <f t="shared" si="38"/>
        <v>935.64182399999993</v>
      </c>
      <c r="H58" s="52">
        <f t="shared" si="39"/>
        <v>771.66336000000001</v>
      </c>
      <c r="I58" s="52">
        <f t="shared" si="40"/>
        <v>2290.8755999999998</v>
      </c>
      <c r="J58" s="52">
        <f t="shared" si="41"/>
        <v>10281.449692799999</v>
      </c>
      <c r="K58" s="52">
        <f t="shared" si="42"/>
        <v>30.844349078399997</v>
      </c>
      <c r="L58" s="52">
        <f t="shared" si="43"/>
        <v>10312.294041878398</v>
      </c>
      <c r="M58" s="52">
        <f t="shared" si="44"/>
        <v>2062.4588083756798</v>
      </c>
      <c r="N58" s="52">
        <f t="shared" si="45"/>
        <v>12374.752850254077</v>
      </c>
      <c r="O58" s="52">
        <f t="shared" si="46"/>
        <v>5.203685287886687E-2</v>
      </c>
      <c r="P58" s="31">
        <v>0.05</v>
      </c>
    </row>
    <row r="59" spans="1:18" ht="20.100000000000001" customHeight="1" x14ac:dyDescent="0.25">
      <c r="A59" s="58" t="s">
        <v>62</v>
      </c>
      <c r="B59" s="187" t="s">
        <v>60</v>
      </c>
      <c r="C59" s="188"/>
      <c r="D59" s="59">
        <v>4.2000000000000003E-2</v>
      </c>
      <c r="E59" s="52">
        <f t="shared" si="36"/>
        <v>7790.8320000000003</v>
      </c>
      <c r="F59" s="52">
        <f t="shared" si="37"/>
        <v>2359.0639296000004</v>
      </c>
      <c r="G59" s="52">
        <f t="shared" si="38"/>
        <v>1511.4214080000002</v>
      </c>
      <c r="H59" s="52">
        <f t="shared" si="39"/>
        <v>1246.5331200000001</v>
      </c>
      <c r="I59" s="52">
        <f t="shared" si="40"/>
        <v>3700.6451999999999</v>
      </c>
      <c r="J59" s="52">
        <f t="shared" si="41"/>
        <v>16608.4956576</v>
      </c>
      <c r="K59" s="52">
        <f t="shared" si="42"/>
        <v>49.8254869728</v>
      </c>
      <c r="L59" s="52">
        <f t="shared" si="43"/>
        <v>16658.321144572801</v>
      </c>
      <c r="M59" s="52">
        <f t="shared" si="44"/>
        <v>3331.6642289145602</v>
      </c>
      <c r="N59" s="52">
        <f t="shared" si="45"/>
        <v>19989.985373487361</v>
      </c>
      <c r="O59" s="52">
        <f t="shared" si="46"/>
        <v>8.4059531573554211E-2</v>
      </c>
      <c r="P59" s="31">
        <f>(O59*1.04)*1.055</f>
        <v>9.2230118042503667E-2</v>
      </c>
    </row>
    <row r="60" spans="1:18" ht="20.100000000000001" customHeight="1" x14ac:dyDescent="0.25">
      <c r="A60" s="64" t="s">
        <v>63</v>
      </c>
      <c r="B60" s="187" t="s">
        <v>30</v>
      </c>
      <c r="C60" s="188"/>
      <c r="D60" s="194">
        <v>0.66200000000000003</v>
      </c>
      <c r="E60" s="145">
        <f>D60*$E$36*12</f>
        <v>122798.352</v>
      </c>
      <c r="F60" s="145">
        <f t="shared" si="37"/>
        <v>37183.3409856</v>
      </c>
      <c r="G60" s="145">
        <f t="shared" si="38"/>
        <v>23822.880288</v>
      </c>
      <c r="H60" s="145">
        <f t="shared" si="39"/>
        <v>19647.73632</v>
      </c>
      <c r="I60" s="145">
        <f t="shared" si="40"/>
        <v>58329.217199999999</v>
      </c>
      <c r="J60" s="145">
        <f t="shared" si="41"/>
        <v>261781.5267936</v>
      </c>
      <c r="K60" s="145">
        <f t="shared" si="42"/>
        <v>785.34458038080004</v>
      </c>
      <c r="L60" s="145">
        <f t="shared" si="43"/>
        <v>262566.87137398083</v>
      </c>
      <c r="M60" s="145">
        <f>L60*$M$36</f>
        <v>52513.374274796166</v>
      </c>
      <c r="N60" s="145">
        <f t="shared" si="45"/>
        <v>315080.245648777</v>
      </c>
      <c r="O60" s="145">
        <f t="shared" si="46"/>
        <v>1.3249383309926877</v>
      </c>
      <c r="P60" s="145">
        <v>1.5</v>
      </c>
      <c r="R60" s="4"/>
    </row>
    <row r="61" spans="1:18" ht="20.100000000000001" customHeight="1" x14ac:dyDescent="0.25">
      <c r="A61" s="64" t="s">
        <v>64</v>
      </c>
      <c r="B61" s="187" t="s">
        <v>30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</row>
    <row r="62" spans="1:18" ht="20.100000000000001" customHeight="1" x14ac:dyDescent="0.25">
      <c r="A62" s="64" t="s">
        <v>65</v>
      </c>
      <c r="B62" s="187" t="s">
        <v>42</v>
      </c>
      <c r="C62" s="188"/>
      <c r="D62" s="195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</row>
    <row r="63" spans="1:18" ht="20.100000000000001" customHeight="1" x14ac:dyDescent="0.25">
      <c r="A63" s="64" t="s">
        <v>66</v>
      </c>
      <c r="B63" s="187" t="s">
        <v>30</v>
      </c>
      <c r="C63" s="188"/>
      <c r="D63" s="196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</row>
    <row r="64" spans="1:18" ht="20.100000000000001" customHeight="1" x14ac:dyDescent="0.25">
      <c r="A64" s="58" t="s">
        <v>67</v>
      </c>
      <c r="B64" s="187" t="s">
        <v>42</v>
      </c>
      <c r="C64" s="188"/>
      <c r="D64" s="59">
        <v>2E-3</v>
      </c>
      <c r="E64" s="52">
        <f>D64*$E$36*12</f>
        <v>370.99200000000002</v>
      </c>
      <c r="F64" s="52">
        <f>E64*$F$36</f>
        <v>112.33637760000001</v>
      </c>
      <c r="G64" s="52">
        <f>E64*$G$36</f>
        <v>71.972448</v>
      </c>
      <c r="H64" s="52">
        <f>E64*$H$36</f>
        <v>59.358720000000005</v>
      </c>
      <c r="I64" s="52">
        <f>E64*$I$36</f>
        <v>176.22120000000001</v>
      </c>
      <c r="J64" s="52">
        <f>SUM(E64:I64)</f>
        <v>790.88074559999995</v>
      </c>
      <c r="K64" s="52">
        <f>J64*$K$36</f>
        <v>2.3726422368</v>
      </c>
      <c r="L64" s="52">
        <f>SUM(J64:K64)</f>
        <v>793.2533878367999</v>
      </c>
      <c r="M64" s="52">
        <f>L64*$M$36</f>
        <v>158.65067756735999</v>
      </c>
      <c r="N64" s="52">
        <f>SUM(L64:M64)</f>
        <v>951.90406540415984</v>
      </c>
      <c r="O64" s="68">
        <f>N64/$E$4/12</f>
        <v>4.0028348368359142E-3</v>
      </c>
      <c r="P64" s="31">
        <f>(O64*1.04)*1.055</f>
        <v>4.3919103829763648E-3</v>
      </c>
    </row>
    <row r="65" spans="1:16" ht="20.100000000000001" customHeight="1" x14ac:dyDescent="0.25">
      <c r="A65" s="60" t="s">
        <v>22</v>
      </c>
      <c r="B65" s="128"/>
      <c r="C65" s="129"/>
      <c r="D65" s="134">
        <f>SUM(D56:D64)</f>
        <v>0.79700000000000004</v>
      </c>
      <c r="E65" s="134">
        <f t="shared" ref="E65:O65" si="47">SUM(E56:E64)</f>
        <v>147840.31200000001</v>
      </c>
      <c r="F65" s="134">
        <f t="shared" si="47"/>
        <v>44766.046473599999</v>
      </c>
      <c r="G65" s="134">
        <f t="shared" si="47"/>
        <v>28681.020528000001</v>
      </c>
      <c r="H65" s="134">
        <f t="shared" si="47"/>
        <v>23654.449919999999</v>
      </c>
      <c r="I65" s="134">
        <f t="shared" si="47"/>
        <v>70224.148199999996</v>
      </c>
      <c r="J65" s="134">
        <f t="shared" si="47"/>
        <v>315165.97712159995</v>
      </c>
      <c r="K65" s="134">
        <f t="shared" si="47"/>
        <v>945.49793136480002</v>
      </c>
      <c r="L65" s="134">
        <f t="shared" si="47"/>
        <v>316111.47505296482</v>
      </c>
      <c r="M65" s="134">
        <f t="shared" si="47"/>
        <v>63222.295010592963</v>
      </c>
      <c r="N65" s="134">
        <f t="shared" si="47"/>
        <v>379333.77006355778</v>
      </c>
      <c r="O65" s="134">
        <f t="shared" si="47"/>
        <v>1.5951296824791119</v>
      </c>
      <c r="P65" s="31">
        <v>1.83</v>
      </c>
    </row>
    <row r="66" spans="1:16" ht="20.100000000000001" customHeight="1" x14ac:dyDescent="0.2">
      <c r="A66" s="212" t="s">
        <v>68</v>
      </c>
      <c r="B66" s="213"/>
      <c r="C66" s="213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  <c r="O66" s="213"/>
      <c r="P66" s="214"/>
    </row>
    <row r="67" spans="1:16" ht="20.100000000000001" customHeight="1" x14ac:dyDescent="0.25">
      <c r="A67" s="151" t="s">
        <v>69</v>
      </c>
      <c r="B67" s="152"/>
      <c r="C67" s="153"/>
      <c r="D67" s="59">
        <v>0.01</v>
      </c>
      <c r="E67" s="52">
        <f>D67*$E$36*12</f>
        <v>1854.96</v>
      </c>
      <c r="F67" s="52">
        <f>E67*$F$36</f>
        <v>561.68188800000007</v>
      </c>
      <c r="G67" s="52">
        <f>E67*$G$36</f>
        <v>359.86224000000004</v>
      </c>
      <c r="H67" s="52">
        <f>E67*$H$36</f>
        <v>296.79360000000003</v>
      </c>
      <c r="I67" s="52">
        <f>E67*$I$36</f>
        <v>881.10599999999999</v>
      </c>
      <c r="J67" s="52">
        <f>SUM(E67:I67)</f>
        <v>3954.4037280000002</v>
      </c>
      <c r="K67" s="52">
        <f>J67*$K$36</f>
        <v>11.863211184000001</v>
      </c>
      <c r="L67" s="52">
        <f>SUM(J67:K67)</f>
        <v>3966.2669391840004</v>
      </c>
      <c r="M67" s="52">
        <f>L67*$M$36</f>
        <v>793.25338783680013</v>
      </c>
      <c r="N67" s="52">
        <f>SUM(L67:M67)</f>
        <v>4759.5203270208003</v>
      </c>
      <c r="O67" s="52">
        <f>N67/$E$4/12</f>
        <v>2.0014174184179574E-2</v>
      </c>
      <c r="P67" s="31">
        <f>(O67*1.04)*1.055</f>
        <v>2.1959551914881827E-2</v>
      </c>
    </row>
    <row r="68" spans="1:16" ht="20.100000000000001" customHeight="1" x14ac:dyDescent="0.25">
      <c r="A68" s="151" t="s">
        <v>70</v>
      </c>
      <c r="B68" s="152"/>
      <c r="C68" s="153"/>
      <c r="D68" s="59">
        <v>0.01</v>
      </c>
      <c r="E68" s="52">
        <f>D68*$E$36*12</f>
        <v>1854.96</v>
      </c>
      <c r="F68" s="52">
        <f>E68*$F$36</f>
        <v>561.68188800000007</v>
      </c>
      <c r="G68" s="52">
        <f>E68*$G$36</f>
        <v>359.86224000000004</v>
      </c>
      <c r="H68" s="52">
        <f>E68*$H$36</f>
        <v>296.79360000000003</v>
      </c>
      <c r="I68" s="52">
        <f>E68*$I$36</f>
        <v>881.10599999999999</v>
      </c>
      <c r="J68" s="52">
        <f>SUM(E68:I68)</f>
        <v>3954.4037280000002</v>
      </c>
      <c r="K68" s="52">
        <f>J68*$K$36</f>
        <v>11.863211184000001</v>
      </c>
      <c r="L68" s="52">
        <f>SUM(J68:K68)</f>
        <v>3966.2669391840004</v>
      </c>
      <c r="M68" s="52">
        <f>L68*$M$36</f>
        <v>793.25338783680013</v>
      </c>
      <c r="N68" s="52">
        <f>SUM(L68:M68)</f>
        <v>4759.5203270208003</v>
      </c>
      <c r="O68" s="52">
        <f>N68/$E$4/12</f>
        <v>2.0014174184179574E-2</v>
      </c>
      <c r="P68" s="31">
        <f>(O68*1.04)*1.055</f>
        <v>2.1959551914881827E-2</v>
      </c>
    </row>
    <row r="69" spans="1:16" ht="20.100000000000001" customHeight="1" x14ac:dyDescent="0.25">
      <c r="A69" s="151" t="s">
        <v>55</v>
      </c>
      <c r="B69" s="152"/>
      <c r="C69" s="153"/>
      <c r="D69" s="65">
        <f>D68+D67</f>
        <v>0.02</v>
      </c>
      <c r="E69" s="65">
        <f t="shared" ref="E69:O69" si="48">E68+E67</f>
        <v>3709.92</v>
      </c>
      <c r="F69" s="65">
        <f t="shared" si="48"/>
        <v>1123.3637760000001</v>
      </c>
      <c r="G69" s="65">
        <f t="shared" si="48"/>
        <v>719.72448000000009</v>
      </c>
      <c r="H69" s="65">
        <f t="shared" si="48"/>
        <v>593.58720000000005</v>
      </c>
      <c r="I69" s="65">
        <f t="shared" si="48"/>
        <v>1762.212</v>
      </c>
      <c r="J69" s="65">
        <f t="shared" si="48"/>
        <v>7908.8074560000005</v>
      </c>
      <c r="K69" s="65">
        <f t="shared" si="48"/>
        <v>23.726422368000001</v>
      </c>
      <c r="L69" s="65">
        <f t="shared" si="48"/>
        <v>7932.5338783680008</v>
      </c>
      <c r="M69" s="65">
        <f t="shared" si="48"/>
        <v>1586.5067756736003</v>
      </c>
      <c r="N69" s="65">
        <f t="shared" si="48"/>
        <v>9519.0406540416006</v>
      </c>
      <c r="O69" s="134">
        <f t="shared" si="48"/>
        <v>4.0028348368359147E-2</v>
      </c>
      <c r="P69" s="31">
        <f>(O69*1.04)*1.055</f>
        <v>4.3919103829763655E-2</v>
      </c>
    </row>
    <row r="70" spans="1:16" ht="20.100000000000001" customHeight="1" x14ac:dyDescent="0.25">
      <c r="A70" s="179" t="s">
        <v>71</v>
      </c>
      <c r="B70" s="180"/>
      <c r="C70" s="181"/>
      <c r="D70" s="33"/>
      <c r="E70" s="33"/>
      <c r="F70" s="33"/>
      <c r="G70" s="33"/>
      <c r="H70" s="33"/>
      <c r="I70" s="33"/>
      <c r="J70" s="33">
        <f>E4*0.375*12</f>
        <v>89177.805000000008</v>
      </c>
      <c r="K70" s="33">
        <f>J70*0.03%</f>
        <v>26.753341500000001</v>
      </c>
      <c r="L70" s="33">
        <f>SUM(J70:K70)</f>
        <v>89204.558341500015</v>
      </c>
      <c r="M70" s="79">
        <f>L70*0.2</f>
        <v>17840.911668300003</v>
      </c>
      <c r="N70" s="33">
        <f>SUM(L70:M70)</f>
        <v>107045.47000980002</v>
      </c>
      <c r="O70" s="32">
        <f>N70/E4/12</f>
        <v>0.45013500000000001</v>
      </c>
      <c r="P70" s="31">
        <v>0.48</v>
      </c>
    </row>
    <row r="71" spans="1:16" ht="20.100000000000001" customHeight="1" x14ac:dyDescent="0.25">
      <c r="A71" s="179" t="s">
        <v>72</v>
      </c>
      <c r="B71" s="180"/>
      <c r="C71" s="181"/>
      <c r="D71" s="33"/>
      <c r="E71" s="33"/>
      <c r="F71" s="33"/>
      <c r="G71" s="33"/>
      <c r="H71" s="33"/>
      <c r="I71" s="33"/>
      <c r="J71" s="33">
        <f>1.49*12*E4</f>
        <v>354333.14519999997</v>
      </c>
      <c r="K71" s="33">
        <f>J71*0.03%</f>
        <v>106.29994355999999</v>
      </c>
      <c r="L71" s="33">
        <f>SUM(J71:K71)</f>
        <v>354439.44514355995</v>
      </c>
      <c r="M71" s="33">
        <f>L71*0.2</f>
        <v>70887.889028711987</v>
      </c>
      <c r="N71" s="33">
        <f>SUM(L71:M71)</f>
        <v>425327.33417227195</v>
      </c>
      <c r="O71" s="32">
        <f>N71/E4/12</f>
        <v>1.7885363999999997</v>
      </c>
      <c r="P71" s="31">
        <v>1.93</v>
      </c>
    </row>
    <row r="72" spans="1:16" ht="20.100000000000001" customHeight="1" x14ac:dyDescent="0.25">
      <c r="A72" s="203"/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19"/>
      <c r="P72" s="54"/>
    </row>
    <row r="73" spans="1:16" ht="20.100000000000001" customHeight="1" x14ac:dyDescent="0.25">
      <c r="A73" s="220" t="s">
        <v>73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54"/>
    </row>
    <row r="74" spans="1:16" ht="20.100000000000001" customHeight="1" x14ac:dyDescent="0.25">
      <c r="A74" s="221" t="s">
        <v>74</v>
      </c>
      <c r="B74" s="221"/>
      <c r="C74" s="221"/>
      <c r="D74" s="66"/>
      <c r="E74" s="66"/>
      <c r="F74" s="66"/>
      <c r="G74" s="66"/>
      <c r="H74" s="66"/>
      <c r="I74" s="66"/>
      <c r="J74" s="66"/>
      <c r="K74" s="66"/>
      <c r="L74" s="66">
        <f>2.19*E4*12</f>
        <v>520798.38120000006</v>
      </c>
      <c r="M74" s="66">
        <f>L74*0.2</f>
        <v>104159.67624000002</v>
      </c>
      <c r="N74" s="66">
        <f>SUM(L74:M74)</f>
        <v>624958.05744000012</v>
      </c>
      <c r="O74" s="31">
        <f>N74/E4/12</f>
        <v>2.6280000000000006</v>
      </c>
      <c r="P74" s="31">
        <v>2.99</v>
      </c>
    </row>
    <row r="75" spans="1:16" ht="20.100000000000001" hidden="1" customHeight="1" x14ac:dyDescent="0.3">
      <c r="A75" s="221" t="s">
        <v>79</v>
      </c>
      <c r="B75" s="221"/>
      <c r="C75" s="221"/>
      <c r="D75" s="66"/>
      <c r="E75" s="66"/>
      <c r="F75" s="66"/>
      <c r="G75" s="66"/>
      <c r="H75" s="66"/>
      <c r="I75" s="66"/>
      <c r="J75" s="66"/>
      <c r="K75" s="66"/>
      <c r="L75" s="66">
        <f>0.275*E4*12</f>
        <v>65397.057000000015</v>
      </c>
      <c r="M75" s="66">
        <f>L75*0.2</f>
        <v>13079.411400000005</v>
      </c>
      <c r="N75" s="66">
        <f>SUM(L75:M75)</f>
        <v>78476.468400000012</v>
      </c>
      <c r="O75" s="31">
        <f>N75/E4/12</f>
        <v>0.33</v>
      </c>
      <c r="P75" s="31">
        <v>0</v>
      </c>
    </row>
    <row r="76" spans="1:16" ht="20.100000000000001" customHeight="1" x14ac:dyDescent="0.25">
      <c r="A76" s="222" t="s">
        <v>76</v>
      </c>
      <c r="B76" s="222"/>
      <c r="C76" s="222"/>
      <c r="D76" s="132"/>
      <c r="E76" s="132"/>
      <c r="F76" s="132"/>
      <c r="G76" s="132"/>
      <c r="H76" s="132"/>
      <c r="I76" s="132"/>
      <c r="J76" s="132"/>
      <c r="K76" s="132"/>
      <c r="L76" s="132">
        <f>8*2561</f>
        <v>20488</v>
      </c>
      <c r="M76" s="132">
        <f>L76*0.2</f>
        <v>4097.6000000000004</v>
      </c>
      <c r="N76" s="132">
        <f>SUM(L76:M76)</f>
        <v>24585.599999999999</v>
      </c>
      <c r="O76" s="31">
        <f>N76/E4</f>
        <v>1.2406136257782976</v>
      </c>
      <c r="P76" s="31">
        <v>1.4</v>
      </c>
    </row>
    <row r="77" spans="1:16" ht="20.100000000000001" customHeight="1" x14ac:dyDescent="0.25">
      <c r="A77" s="223" t="s">
        <v>22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5"/>
      <c r="O77" s="53">
        <f>SUM(O74:O76)</f>
        <v>4.1986136257782984</v>
      </c>
      <c r="P77" s="31">
        <f>P74+P76</f>
        <v>4.3900000000000006</v>
      </c>
    </row>
    <row r="78" spans="1:16" s="10" customFormat="1" ht="33" customHeight="1" x14ac:dyDescent="0.2">
      <c r="A78" s="201" t="s">
        <v>124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O21+O32+O38+O54+O65+O70+O71+O77+O69+O22+O23</f>
        <v>21.68114365181691</v>
      </c>
      <c r="P78" s="32">
        <f>P21+P32+P38+P54+P65+P70+P71+P77+P69+P22+P23</f>
        <v>24.305612969098267</v>
      </c>
    </row>
    <row r="79" spans="1:16" ht="15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spans="1:16" ht="15" x14ac:dyDescent="0.25">
      <c r="A80" s="80" t="s">
        <v>94</v>
      </c>
      <c r="B80" s="80"/>
      <c r="C80" s="80"/>
      <c r="D80" s="14"/>
      <c r="E80" s="14"/>
      <c r="F80" s="14"/>
      <c r="G80" s="14"/>
      <c r="H80" s="14"/>
      <c r="I80" s="14"/>
      <c r="J80" s="14"/>
      <c r="K80" s="14"/>
      <c r="L80" s="14"/>
      <c r="M80" s="80" t="s">
        <v>78</v>
      </c>
      <c r="N80" s="80"/>
      <c r="O80" s="80"/>
      <c r="P80" s="81"/>
    </row>
    <row r="81" spans="1:16" ht="15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</row>
    <row r="87" spans="1:16" x14ac:dyDescent="0.2">
      <c r="D87" s="2">
        <f>D38+D54+D65+D69</f>
        <v>3.4274200000000001</v>
      </c>
    </row>
  </sheetData>
  <mergeCells count="108">
    <mergeCell ref="A2:P2"/>
    <mergeCell ref="A3:P3"/>
    <mergeCell ref="A7:A10"/>
    <mergeCell ref="B7:B9"/>
    <mergeCell ref="C7:C9"/>
    <mergeCell ref="D7:D9"/>
    <mergeCell ref="E7:E8"/>
    <mergeCell ref="F7:F8"/>
    <mergeCell ref="G7:G8"/>
    <mergeCell ref="H7:H8"/>
    <mergeCell ref="O7:O9"/>
    <mergeCell ref="P7:P9"/>
    <mergeCell ref="A5:P5"/>
    <mergeCell ref="A11:O11"/>
    <mergeCell ref="A19:O19"/>
    <mergeCell ref="D22:K22"/>
    <mergeCell ref="D23:K23"/>
    <mergeCell ref="I7:I8"/>
    <mergeCell ref="J7:J9"/>
    <mergeCell ref="K7:K8"/>
    <mergeCell ref="L7:L9"/>
    <mergeCell ref="M7:M8"/>
    <mergeCell ref="N7:N9"/>
    <mergeCell ref="M26:M27"/>
    <mergeCell ref="N26:N28"/>
    <mergeCell ref="O26:O28"/>
    <mergeCell ref="P26:P28"/>
    <mergeCell ref="A33:O33"/>
    <mergeCell ref="A34:A37"/>
    <mergeCell ref="B34:B36"/>
    <mergeCell ref="C34:C36"/>
    <mergeCell ref="D34:D36"/>
    <mergeCell ref="E34:E35"/>
    <mergeCell ref="G26:G27"/>
    <mergeCell ref="H26:H27"/>
    <mergeCell ref="I26:I27"/>
    <mergeCell ref="J26:J28"/>
    <mergeCell ref="K26:K27"/>
    <mergeCell ref="L26:L28"/>
    <mergeCell ref="A26:A29"/>
    <mergeCell ref="B26:B28"/>
    <mergeCell ref="C26:C28"/>
    <mergeCell ref="D26:D28"/>
    <mergeCell ref="E26:E27"/>
    <mergeCell ref="F26:F27"/>
    <mergeCell ref="L34:L36"/>
    <mergeCell ref="M34:M35"/>
    <mergeCell ref="N34:N36"/>
    <mergeCell ref="O34:O36"/>
    <mergeCell ref="P34:P36"/>
    <mergeCell ref="A39:O39"/>
    <mergeCell ref="F34:F35"/>
    <mergeCell ref="G34:G35"/>
    <mergeCell ref="H34:H35"/>
    <mergeCell ref="I34:I35"/>
    <mergeCell ref="J34:J36"/>
    <mergeCell ref="K34:K35"/>
    <mergeCell ref="B46:C46"/>
    <mergeCell ref="B47:C47"/>
    <mergeCell ref="B48:C48"/>
    <mergeCell ref="B49:C49"/>
    <mergeCell ref="A50:P50"/>
    <mergeCell ref="B51:C51"/>
    <mergeCell ref="A40:P40"/>
    <mergeCell ref="B41:C41"/>
    <mergeCell ref="B42:C42"/>
    <mergeCell ref="B43:C43"/>
    <mergeCell ref="A44:P44"/>
    <mergeCell ref="B45:C45"/>
    <mergeCell ref="B58:C58"/>
    <mergeCell ref="B59:C59"/>
    <mergeCell ref="B60:C60"/>
    <mergeCell ref="D60:D63"/>
    <mergeCell ref="E60:E63"/>
    <mergeCell ref="F60:F63"/>
    <mergeCell ref="B52:C52"/>
    <mergeCell ref="B53:C53"/>
    <mergeCell ref="B54:C54"/>
    <mergeCell ref="A55:P55"/>
    <mergeCell ref="B56:C56"/>
    <mergeCell ref="B57:C57"/>
    <mergeCell ref="M60:M63"/>
    <mergeCell ref="N60:N63"/>
    <mergeCell ref="O60:O63"/>
    <mergeCell ref="P60:P63"/>
    <mergeCell ref="B61:C61"/>
    <mergeCell ref="B62:C62"/>
    <mergeCell ref="B63:C63"/>
    <mergeCell ref="G60:G63"/>
    <mergeCell ref="H60:H63"/>
    <mergeCell ref="I60:I63"/>
    <mergeCell ref="J60:J63"/>
    <mergeCell ref="K60:K63"/>
    <mergeCell ref="L60:L63"/>
    <mergeCell ref="A77:N77"/>
    <mergeCell ref="A78:N78"/>
    <mergeCell ref="A71:C71"/>
    <mergeCell ref="A72:O72"/>
    <mergeCell ref="A73:O73"/>
    <mergeCell ref="A74:C74"/>
    <mergeCell ref="A75:C75"/>
    <mergeCell ref="A76:C76"/>
    <mergeCell ref="B64:C64"/>
    <mergeCell ref="A66:P66"/>
    <mergeCell ref="A67:C67"/>
    <mergeCell ref="A68:C68"/>
    <mergeCell ref="A69:C69"/>
    <mergeCell ref="A70:C70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9"/>
  <sheetViews>
    <sheetView zoomScale="160" zoomScaleNormal="160" workbookViewId="0">
      <selection activeCell="S16" sqref="S16"/>
    </sheetView>
  </sheetViews>
  <sheetFormatPr defaultColWidth="9.140625" defaultRowHeight="12.75" x14ac:dyDescent="0.2"/>
  <cols>
    <col min="1" max="1" width="75.28515625" style="2" customWidth="1"/>
    <col min="2" max="2" width="6.7109375" style="2" hidden="1" customWidth="1"/>
    <col min="3" max="3" width="7" style="2" hidden="1" customWidth="1"/>
    <col min="4" max="4" width="5.85546875" style="2" hidden="1" customWidth="1"/>
    <col min="5" max="5" width="9.28515625" style="12" hidden="1" customWidth="1"/>
    <col min="6" max="6" width="9.28515625" style="2" hidden="1" customWidth="1"/>
    <col min="7" max="7" width="8.5703125" style="2" hidden="1" customWidth="1"/>
    <col min="8" max="8" width="9" style="2" hidden="1" customWidth="1"/>
    <col min="9" max="9" width="10.42578125" style="2" hidden="1" customWidth="1"/>
    <col min="10" max="10" width="10.140625" style="2" hidden="1" customWidth="1"/>
    <col min="11" max="11" width="9.140625" style="2" hidden="1" customWidth="1"/>
    <col min="12" max="12" width="10.42578125" style="2" hidden="1" customWidth="1"/>
    <col min="13" max="14" width="8.42578125" style="13" hidden="1" customWidth="1"/>
    <col min="15" max="15" width="15.28515625" style="2" hidden="1" customWidth="1"/>
    <col min="16" max="16" width="14.8554687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5.75" hidden="1" customHeight="1" x14ac:dyDescent="0.2">
      <c r="A4" s="69" t="s">
        <v>0</v>
      </c>
      <c r="B4" s="15"/>
      <c r="C4" s="15"/>
      <c r="D4" s="15"/>
      <c r="E4" s="82">
        <v>603309</v>
      </c>
      <c r="F4" s="15" t="s">
        <v>1</v>
      </c>
      <c r="G4" s="15"/>
      <c r="H4" s="15"/>
      <c r="I4" s="15"/>
      <c r="J4" s="15"/>
      <c r="K4" s="15"/>
      <c r="L4" s="15"/>
      <c r="M4" s="83"/>
      <c r="N4" s="83"/>
      <c r="O4" s="15"/>
      <c r="P4" s="15"/>
    </row>
    <row r="5" spans="1:16" ht="14.25" x14ac:dyDescent="0.2">
      <c r="A5" s="155" t="s">
        <v>117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2.75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226" t="s">
        <v>84</v>
      </c>
      <c r="F6" s="163" t="s">
        <v>85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86</v>
      </c>
      <c r="M6" s="228" t="s">
        <v>14</v>
      </c>
      <c r="N6" s="230" t="s">
        <v>15</v>
      </c>
      <c r="O6" s="141" t="s">
        <v>16</v>
      </c>
      <c r="P6" s="144" t="s">
        <v>131</v>
      </c>
    </row>
    <row r="7" spans="1:16" ht="78" customHeight="1" x14ac:dyDescent="0.2">
      <c r="A7" s="157"/>
      <c r="B7" s="159"/>
      <c r="C7" s="159"/>
      <c r="D7" s="159"/>
      <c r="E7" s="227"/>
      <c r="F7" s="164"/>
      <c r="G7" s="166"/>
      <c r="H7" s="177"/>
      <c r="I7" s="177"/>
      <c r="J7" s="159"/>
      <c r="K7" s="159"/>
      <c r="L7" s="168"/>
      <c r="M7" s="229"/>
      <c r="N7" s="231"/>
      <c r="O7" s="142"/>
      <c r="P7" s="144"/>
    </row>
    <row r="8" spans="1:16" ht="12.75" hidden="1" customHeight="1" x14ac:dyDescent="0.2">
      <c r="A8" s="157"/>
      <c r="B8" s="160"/>
      <c r="C8" s="160"/>
      <c r="D8" s="160"/>
      <c r="E8" s="84">
        <v>12792</v>
      </c>
      <c r="F8" s="19">
        <v>0.30280000000000001</v>
      </c>
      <c r="G8" s="5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85">
        <v>0.2</v>
      </c>
      <c r="N8" s="232"/>
      <c r="O8" s="143"/>
      <c r="P8" s="144"/>
    </row>
    <row r="9" spans="1:16" ht="12.75" hidden="1" customHeight="1" x14ac:dyDescent="0.2">
      <c r="A9" s="157"/>
      <c r="B9" s="24">
        <v>1</v>
      </c>
      <c r="C9" s="24">
        <v>2</v>
      </c>
      <c r="D9" s="24">
        <v>3</v>
      </c>
      <c r="E9" s="86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87">
        <v>12</v>
      </c>
      <c r="N9" s="87">
        <v>13</v>
      </c>
      <c r="O9" s="24">
        <v>14</v>
      </c>
      <c r="P9" s="24">
        <v>14</v>
      </c>
    </row>
    <row r="10" spans="1:16" ht="15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71"/>
    </row>
    <row r="11" spans="1:16" ht="37.5" customHeight="1" x14ac:dyDescent="0.2">
      <c r="A11" s="26" t="s">
        <v>106</v>
      </c>
      <c r="B11" s="27" t="s">
        <v>18</v>
      </c>
      <c r="C11" s="27" t="s">
        <v>18</v>
      </c>
      <c r="D11" s="27">
        <f>SUM(D12:D14)</f>
        <v>50.710165131837861</v>
      </c>
      <c r="E11" s="88">
        <f>SUM(E12:E14)</f>
        <v>7784213.1883976385</v>
      </c>
      <c r="F11" s="27">
        <f t="shared" ref="F11:N11" si="0">SUM(F12:F14)</f>
        <v>2357059.7534468048</v>
      </c>
      <c r="G11" s="27">
        <f t="shared" si="0"/>
        <v>175923.21805778661</v>
      </c>
      <c r="H11" s="27">
        <f t="shared" si="0"/>
        <v>210173.75608673622</v>
      </c>
      <c r="I11" s="27">
        <f t="shared" si="0"/>
        <v>3697501.2644888777</v>
      </c>
      <c r="J11" s="27">
        <f t="shared" si="0"/>
        <v>14224871.180477845</v>
      </c>
      <c r="K11" s="27">
        <f t="shared" si="0"/>
        <v>42674.613541433537</v>
      </c>
      <c r="L11" s="27">
        <f t="shared" si="0"/>
        <v>14267545.794019276</v>
      </c>
      <c r="M11" s="89">
        <f t="shared" si="0"/>
        <v>2853509.1588038555</v>
      </c>
      <c r="N11" s="89">
        <f t="shared" si="0"/>
        <v>17121054.952823132</v>
      </c>
      <c r="O11" s="27">
        <f>SUM(O12:O14)</f>
        <v>2.3648819749115755</v>
      </c>
      <c r="P11" s="27">
        <f>(2.31*1.055)*1.045</f>
        <v>2.5467172499999995</v>
      </c>
    </row>
    <row r="12" spans="1:16" ht="15" customHeight="1" x14ac:dyDescent="0.25">
      <c r="A12" s="28" t="s">
        <v>19</v>
      </c>
      <c r="B12" s="29">
        <f>'[3]3 категория!!!!!!!!!!!!!!!!'!V245</f>
        <v>35402</v>
      </c>
      <c r="C12" s="29">
        <v>3630</v>
      </c>
      <c r="D12" s="30">
        <f>B12/C12</f>
        <v>9.7526170798898075</v>
      </c>
      <c r="E12" s="90">
        <f>D12*$E$8*12</f>
        <v>1497065.7322314051</v>
      </c>
      <c r="F12" s="31">
        <f>E12*$F$8</f>
        <v>453311.50371966948</v>
      </c>
      <c r="G12" s="31">
        <f>E12*$G$8</f>
        <v>33833.685548429756</v>
      </c>
      <c r="H12" s="31">
        <f>E12*$H$8</f>
        <v>40420.774770247939</v>
      </c>
      <c r="I12" s="31">
        <f>E12*$I$8</f>
        <v>711106.22280991741</v>
      </c>
      <c r="J12" s="31">
        <f>SUM(E12:I12)</f>
        <v>2735737.9190796698</v>
      </c>
      <c r="K12" s="31">
        <f>J12*$K$8</f>
        <v>8207.2137572390093</v>
      </c>
      <c r="L12" s="32">
        <f>SUM(J12:K12)</f>
        <v>2743945.1328369086</v>
      </c>
      <c r="M12" s="29">
        <f>L12*$M$8</f>
        <v>548789.02656738169</v>
      </c>
      <c r="N12" s="91">
        <f>SUM(L12:M12)</f>
        <v>3292734.1594042904</v>
      </c>
      <c r="O12" s="31">
        <f>N12/$E$4/12</f>
        <v>0.45481587923218592</v>
      </c>
      <c r="P12" s="52">
        <f>(0.47*1.055)*1.045</f>
        <v>0.51816324999999996</v>
      </c>
    </row>
    <row r="13" spans="1:16" ht="15" customHeight="1" x14ac:dyDescent="0.25">
      <c r="A13" s="28" t="s">
        <v>20</v>
      </c>
      <c r="B13" s="29">
        <v>124900</v>
      </c>
      <c r="C13" s="29">
        <v>3080</v>
      </c>
      <c r="D13" s="30">
        <f>B13/C13</f>
        <v>40.551948051948052</v>
      </c>
      <c r="E13" s="90">
        <f>D13*$E$8*12</f>
        <v>6224886.2337662335</v>
      </c>
      <c r="F13" s="31">
        <f>E13*$F$8</f>
        <v>1884895.5515844156</v>
      </c>
      <c r="G13" s="31">
        <f>E13*$G$8</f>
        <v>140682.42888311687</v>
      </c>
      <c r="H13" s="31">
        <f>E13*$H$8</f>
        <v>168071.9283116883</v>
      </c>
      <c r="I13" s="31">
        <f>E13*$I$8</f>
        <v>2956820.9610389606</v>
      </c>
      <c r="J13" s="31">
        <f>SUM(E13:I13)</f>
        <v>11375357.103584414</v>
      </c>
      <c r="K13" s="31">
        <f>J13*$K$8</f>
        <v>34126.071310753243</v>
      </c>
      <c r="L13" s="32">
        <f>SUM(J13:K13)</f>
        <v>11409483.174895167</v>
      </c>
      <c r="M13" s="29">
        <f>L13*$M$8</f>
        <v>2281896.6349790334</v>
      </c>
      <c r="N13" s="91">
        <f>SUM(L13:M13)</f>
        <v>13691379.809874201</v>
      </c>
      <c r="O13" s="31">
        <f>N13/$E$4/12</f>
        <v>1.8911508323090105</v>
      </c>
      <c r="P13" s="52">
        <f>((O13*1.04)*1.055)*1.045</f>
        <v>2.1683443744038713</v>
      </c>
    </row>
    <row r="14" spans="1:16" ht="15" customHeight="1" x14ac:dyDescent="0.25">
      <c r="A14" s="28" t="s">
        <v>21</v>
      </c>
      <c r="B14" s="29">
        <f>'[3]3 категория!!!!!!!!!!!!!!!!'!X245</f>
        <v>1014</v>
      </c>
      <c r="C14" s="29">
        <v>2500</v>
      </c>
      <c r="D14" s="30">
        <f>B14/C14</f>
        <v>0.40560000000000002</v>
      </c>
      <c r="E14" s="90">
        <f>D14*$E$8*12</f>
        <v>62261.222399999999</v>
      </c>
      <c r="F14" s="31">
        <f>E14*$F$8</f>
        <v>18852.698142720001</v>
      </c>
      <c r="G14" s="31">
        <f>E14*$G$8</f>
        <v>1407.1036262399998</v>
      </c>
      <c r="H14" s="31">
        <f>E14*$H$8</f>
        <v>1681.0530048000001</v>
      </c>
      <c r="I14" s="31">
        <f>E14*$I$8</f>
        <v>29574.080639999996</v>
      </c>
      <c r="J14" s="31">
        <f>SUM(E14:I14)</f>
        <v>113776.15781376002</v>
      </c>
      <c r="K14" s="31">
        <f>J14*$K$8</f>
        <v>341.32847344128004</v>
      </c>
      <c r="L14" s="32">
        <f>SUM(J14:K14)</f>
        <v>114117.48628720129</v>
      </c>
      <c r="M14" s="29">
        <f>L14*$M$8</f>
        <v>22823.49725744026</v>
      </c>
      <c r="N14" s="91">
        <f>SUM(L14:M14)</f>
        <v>136940.98354464155</v>
      </c>
      <c r="O14" s="31">
        <f>N14/$E$4/12</f>
        <v>1.8915263370379239E-2</v>
      </c>
      <c r="P14" s="52">
        <f>((O14*1.04)*1.055)*1.045</f>
        <v>2.1687749183629201E-2</v>
      </c>
    </row>
    <row r="15" spans="1:16" ht="15" customHeight="1" x14ac:dyDescent="0.25">
      <c r="A15" s="26" t="s">
        <v>98</v>
      </c>
      <c r="B15" s="29">
        <f>'[3]3 категория!!!!!!!!!!!!!!!!'!T245*55%</f>
        <v>121271.70000000001</v>
      </c>
      <c r="C15" s="29">
        <v>30000</v>
      </c>
      <c r="D15" s="31">
        <f>B15/C15</f>
        <v>4.0423900000000001</v>
      </c>
      <c r="E15" s="90">
        <f>$E$8*D15*12</f>
        <v>620523.03456000006</v>
      </c>
      <c r="F15" s="31">
        <f>E15*$F$8</f>
        <v>187894.37486476803</v>
      </c>
      <c r="G15" s="31">
        <f>E15*$G$8</f>
        <v>14023.820581056001</v>
      </c>
      <c r="H15" s="31">
        <f>E15*$H$8</f>
        <v>16754.121933120001</v>
      </c>
      <c r="I15" s="31">
        <f>E15*$I$8</f>
        <v>294748.44141600002</v>
      </c>
      <c r="J15" s="31">
        <f>E15+F15+G15+H15+I15</f>
        <v>1133943.7933549439</v>
      </c>
      <c r="K15" s="31">
        <f>J15*$K$8</f>
        <v>3401.8313800648316</v>
      </c>
      <c r="L15" s="32">
        <f>J15+K15</f>
        <v>1137345.6247350087</v>
      </c>
      <c r="M15" s="29">
        <f>L15*$M$8</f>
        <v>227469.12494700175</v>
      </c>
      <c r="N15" s="91">
        <f>L15+M15</f>
        <v>1364814.7496820104</v>
      </c>
      <c r="O15" s="31">
        <f>N15/$E$4/12</f>
        <v>0.18851792775095491</v>
      </c>
      <c r="P15" s="52">
        <f>((O15*1.04)*1.055)*1.045</f>
        <v>0.21614975449312335</v>
      </c>
    </row>
    <row r="16" spans="1:16" ht="48.75" customHeight="1" x14ac:dyDescent="0.25">
      <c r="A16" s="28" t="s">
        <v>109</v>
      </c>
      <c r="B16" s="29">
        <f>'[3]3 категория!!!!!!!!!!!!!!!!'!U245*76%</f>
        <v>97657.72</v>
      </c>
      <c r="C16" s="29">
        <v>10000</v>
      </c>
      <c r="D16" s="31">
        <f>B16/C16</f>
        <v>9.7657720000000001</v>
      </c>
      <c r="E16" s="90">
        <f>$E$8*D16*12</f>
        <v>1499085.0650880001</v>
      </c>
      <c r="F16" s="31">
        <f>E16*$F$8</f>
        <v>453922.95770864649</v>
      </c>
      <c r="G16" s="31">
        <f>E16*$G$8</f>
        <v>33879.322470988802</v>
      </c>
      <c r="H16" s="31">
        <f>E16*$H$8</f>
        <v>40475.296757376003</v>
      </c>
      <c r="I16" s="31">
        <f>E16*$I$8</f>
        <v>712065.40591680002</v>
      </c>
      <c r="J16" s="31">
        <f>E16+F16+G16+H16+I16</f>
        <v>2739428.0479418114</v>
      </c>
      <c r="K16" s="31">
        <f>J16*$K$8</f>
        <v>8218.2841438254345</v>
      </c>
      <c r="L16" s="32">
        <f>J16+K16</f>
        <v>2747646.3320856369</v>
      </c>
      <c r="M16" s="29">
        <f>L16*$M$8</f>
        <v>549529.26641712745</v>
      </c>
      <c r="N16" s="91">
        <f>L16+M16</f>
        <v>3297175.5985027645</v>
      </c>
      <c r="O16" s="31">
        <f>N16/$E$4/12</f>
        <v>0.45542936241389359</v>
      </c>
      <c r="P16" s="52">
        <f>((O16*1.04)*1.055)*1.045</f>
        <v>0.52218346578034758</v>
      </c>
    </row>
    <row r="17" spans="1:16" ht="15" customHeight="1" x14ac:dyDescent="0.2">
      <c r="A17" s="33" t="s">
        <v>22</v>
      </c>
      <c r="B17" s="32"/>
      <c r="C17" s="32"/>
      <c r="D17" s="32">
        <f>SUM(D12:D16)</f>
        <v>64.518327131837864</v>
      </c>
      <c r="E17" s="92">
        <f>SUM(E12:E16)</f>
        <v>9903821.2880456392</v>
      </c>
      <c r="F17" s="35">
        <f t="shared" ref="F17:N17" si="1">SUM(F12:F16)</f>
        <v>2998877.0860202196</v>
      </c>
      <c r="G17" s="35">
        <f t="shared" si="1"/>
        <v>223826.36110983143</v>
      </c>
      <c r="H17" s="35">
        <f t="shared" si="1"/>
        <v>267403.17477723223</v>
      </c>
      <c r="I17" s="35">
        <f t="shared" si="1"/>
        <v>4704315.1118216775</v>
      </c>
      <c r="J17" s="35">
        <f t="shared" si="1"/>
        <v>18098243.021774597</v>
      </c>
      <c r="K17" s="35">
        <f t="shared" si="1"/>
        <v>54294.729065323801</v>
      </c>
      <c r="L17" s="35">
        <f t="shared" si="1"/>
        <v>18152537.750839923</v>
      </c>
      <c r="M17" s="93">
        <f t="shared" si="1"/>
        <v>3630507.5501679848</v>
      </c>
      <c r="N17" s="93">
        <f t="shared" si="1"/>
        <v>21783045.301007904</v>
      </c>
      <c r="O17" s="32">
        <f>SUM(O11:O16)</f>
        <v>5.3737112399880003</v>
      </c>
      <c r="P17" s="27">
        <f>P11+P12+P13+P14+P15+P16</f>
        <v>5.9932458438609704</v>
      </c>
    </row>
    <row r="18" spans="1:16" ht="15" customHeight="1" x14ac:dyDescent="0.25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34"/>
    </row>
    <row r="19" spans="1:16" ht="15" customHeight="1" x14ac:dyDescent="0.25">
      <c r="A19" s="28" t="s">
        <v>24</v>
      </c>
      <c r="B19" s="29">
        <v>47436</v>
      </c>
      <c r="C19" s="29">
        <v>1066</v>
      </c>
      <c r="D19" s="32">
        <f>B19/C19</f>
        <v>44.49906191369606</v>
      </c>
      <c r="E19" s="90">
        <f>E8*D19*12</f>
        <v>6830784</v>
      </c>
      <c r="F19" s="31">
        <f>E19*F8</f>
        <v>2068361.3952000001</v>
      </c>
      <c r="G19" s="31">
        <f>E19*G8</f>
        <v>154375.71839999998</v>
      </c>
      <c r="H19" s="31">
        <f>E19*H8</f>
        <v>184431.16800000001</v>
      </c>
      <c r="I19" s="31">
        <f>E19*I8</f>
        <v>3244622.4</v>
      </c>
      <c r="J19" s="31">
        <f>E19+F19+G19+H19+I19</f>
        <v>12482574.681599999</v>
      </c>
      <c r="K19" s="31">
        <f>J19*K8</f>
        <v>37447.724044799994</v>
      </c>
      <c r="L19" s="31">
        <f>J19+K19</f>
        <v>12520022.405644799</v>
      </c>
      <c r="M19" s="29">
        <f>L19*M8</f>
        <v>2504004.4811289599</v>
      </c>
      <c r="N19" s="91">
        <f>L19+M19</f>
        <v>15024026.886773758</v>
      </c>
      <c r="O19" s="31">
        <f>N19/$E$4/12</f>
        <v>2.0752255321310966</v>
      </c>
      <c r="P19" s="52">
        <f>((O19*1.04)*1.055)*1.045</f>
        <v>2.3793996392776799</v>
      </c>
    </row>
    <row r="20" spans="1:16" ht="15" hidden="1" customHeight="1" x14ac:dyDescent="0.3">
      <c r="A20" s="33" t="s">
        <v>25</v>
      </c>
      <c r="B20" s="29">
        <f>'[3]3 категория!!!!!!!!!!!!!!!!'!O204</f>
        <v>125</v>
      </c>
      <c r="C20" s="29">
        <v>512</v>
      </c>
      <c r="D20" s="32">
        <f>B20/C20</f>
        <v>0.244140625</v>
      </c>
      <c r="E20" s="92">
        <f>D20*E8*12</f>
        <v>37476.5625</v>
      </c>
      <c r="F20" s="31">
        <f>E20*F8</f>
        <v>11347.903125000001</v>
      </c>
      <c r="G20" s="31">
        <f>E20*G8</f>
        <v>846.97031249999998</v>
      </c>
      <c r="H20" s="31">
        <f>E20*H8</f>
        <v>1011.8671875</v>
      </c>
      <c r="I20" s="31">
        <f>E20*I8</f>
        <v>17801.3671875</v>
      </c>
      <c r="J20" s="31">
        <f>E20+F20+G20+H20+I20</f>
        <v>68484.670312500006</v>
      </c>
      <c r="K20" s="31">
        <f>J20*K8</f>
        <v>205.45401093750002</v>
      </c>
      <c r="L20" s="31">
        <f>J20+K20</f>
        <v>68690.1243234375</v>
      </c>
      <c r="M20" s="29">
        <f>L20*M8</f>
        <v>13738.024864687501</v>
      </c>
      <c r="N20" s="91">
        <f>L20+M20</f>
        <v>82428.149188124997</v>
      </c>
      <c r="O20" s="31">
        <f>N20/E4/12</f>
        <v>1.1385562675749491E-2</v>
      </c>
      <c r="P20" s="31">
        <v>0</v>
      </c>
    </row>
    <row r="21" spans="1:16" ht="15" customHeight="1" x14ac:dyDescent="0.25">
      <c r="A21" s="33" t="s">
        <v>26</v>
      </c>
      <c r="B21" s="36"/>
      <c r="C21" s="36"/>
      <c r="D21" s="36"/>
      <c r="E21" s="92">
        <f>E20+E17+E19</f>
        <v>16772081.850545639</v>
      </c>
      <c r="F21" s="35">
        <f t="shared" ref="F21:N21" si="2">F20+F17+F19</f>
        <v>5078586.3843452204</v>
      </c>
      <c r="G21" s="35">
        <f t="shared" si="2"/>
        <v>379049.04982233141</v>
      </c>
      <c r="H21" s="35">
        <f t="shared" si="2"/>
        <v>452846.20996473223</v>
      </c>
      <c r="I21" s="35">
        <f t="shared" si="2"/>
        <v>7966738.8790091779</v>
      </c>
      <c r="J21" s="35">
        <f t="shared" si="2"/>
        <v>30649302.373687096</v>
      </c>
      <c r="K21" s="35">
        <f t="shared" si="2"/>
        <v>91947.907121061289</v>
      </c>
      <c r="L21" s="35">
        <f t="shared" si="2"/>
        <v>30741250.280808158</v>
      </c>
      <c r="M21" s="93">
        <f t="shared" si="2"/>
        <v>6148250.0561616328</v>
      </c>
      <c r="N21" s="93">
        <f t="shared" si="2"/>
        <v>36889500.336969785</v>
      </c>
      <c r="O21" s="35">
        <f>O20+O17+O19</f>
        <v>7.4603223347948457</v>
      </c>
      <c r="P21" s="52">
        <f>8.02*1.045</f>
        <v>8.3808999999999987</v>
      </c>
    </row>
    <row r="22" spans="1:16" ht="15" customHeight="1" x14ac:dyDescent="0.25">
      <c r="A22" s="33" t="s">
        <v>27</v>
      </c>
      <c r="B22" s="37" t="s">
        <v>30</v>
      </c>
      <c r="C22" s="38">
        <f>'[3]3 категория!!!!!!!!!!!!!!!!'!Z245</f>
        <v>114105.92</v>
      </c>
      <c r="D22" s="174"/>
      <c r="E22" s="175"/>
      <c r="F22" s="175"/>
      <c r="G22" s="175"/>
      <c r="H22" s="175"/>
      <c r="I22" s="175"/>
      <c r="J22" s="175"/>
      <c r="K22" s="176"/>
      <c r="L22" s="94">
        <f>'[3]3 категория!!!!!!!!!!!!!!!!'!AA245</f>
        <v>57052.959999999999</v>
      </c>
      <c r="M22" s="95">
        <f>L22*0.2</f>
        <v>11410.592000000001</v>
      </c>
      <c r="N22" s="95">
        <f>SUM(L22:M22)</f>
        <v>68463.551999999996</v>
      </c>
      <c r="O22" s="75">
        <f>N22/E4/12</f>
        <v>9.456673114440527E-3</v>
      </c>
      <c r="P22" s="52">
        <f>((O22*1.04)*1.055)*1.045</f>
        <v>1.0842775519516531E-2</v>
      </c>
    </row>
    <row r="23" spans="1:16" ht="15" customHeight="1" x14ac:dyDescent="0.25">
      <c r="A23" s="33" t="s">
        <v>29</v>
      </c>
      <c r="B23" s="37" t="s">
        <v>30</v>
      </c>
      <c r="C23" s="38">
        <f>'[3]3 категория!!!!!!!!!!!!!!!!'!Z245</f>
        <v>114105.92</v>
      </c>
      <c r="D23" s="174"/>
      <c r="E23" s="175"/>
      <c r="F23" s="175"/>
      <c r="G23" s="175"/>
      <c r="H23" s="175"/>
      <c r="I23" s="175"/>
      <c r="J23" s="175"/>
      <c r="K23" s="176"/>
      <c r="L23" s="94">
        <f>'[3]3 категория!!!!!!!!!!!!!!!!'!AB245</f>
        <v>268800</v>
      </c>
      <c r="M23" s="95">
        <f>L23*0.2</f>
        <v>53760</v>
      </c>
      <c r="N23" s="95">
        <f>SUM(L23:M23)</f>
        <v>322560</v>
      </c>
      <c r="O23" s="75">
        <f>N23/E4/12</f>
        <v>4.455428312854607E-2</v>
      </c>
      <c r="P23" s="52">
        <f>((O23*1.04)*1.055)*1.045</f>
        <v>5.108478262382958E-2</v>
      </c>
    </row>
    <row r="24" spans="1:16" ht="15" customHeight="1" x14ac:dyDescent="0.25">
      <c r="A24" s="39"/>
      <c r="B24" s="40"/>
      <c r="C24" s="40"/>
      <c r="D24" s="40"/>
      <c r="E24" s="96"/>
      <c r="F24" s="41"/>
      <c r="G24" s="41"/>
      <c r="H24" s="41"/>
      <c r="I24" s="41"/>
      <c r="J24" s="41"/>
      <c r="K24" s="41"/>
      <c r="L24" s="41"/>
      <c r="M24" s="97"/>
      <c r="N24" s="97"/>
      <c r="O24" s="41"/>
      <c r="P24" s="30"/>
    </row>
    <row r="25" spans="1:16" ht="15" hidden="1" customHeight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226" t="s">
        <v>31</v>
      </c>
      <c r="F25" s="141" t="str">
        <f>F6</f>
        <v>Страховые взносы                 ( руб.)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87</v>
      </c>
      <c r="M25" s="228" t="s">
        <v>14</v>
      </c>
      <c r="N25" s="233" t="s">
        <v>15</v>
      </c>
      <c r="O25" s="144" t="s">
        <v>16</v>
      </c>
      <c r="P25" s="144" t="s">
        <v>16</v>
      </c>
    </row>
    <row r="26" spans="1:16" ht="15" hidden="1" customHeight="1" x14ac:dyDescent="0.25">
      <c r="A26" s="157"/>
      <c r="B26" s="185"/>
      <c r="C26" s="185"/>
      <c r="D26" s="186"/>
      <c r="E26" s="227"/>
      <c r="F26" s="142"/>
      <c r="G26" s="182"/>
      <c r="H26" s="159"/>
      <c r="I26" s="159"/>
      <c r="J26" s="183"/>
      <c r="K26" s="159"/>
      <c r="L26" s="184"/>
      <c r="M26" s="229"/>
      <c r="N26" s="233"/>
      <c r="O26" s="144"/>
      <c r="P26" s="144"/>
    </row>
    <row r="27" spans="1:16" ht="15" hidden="1" customHeight="1" x14ac:dyDescent="0.25">
      <c r="A27" s="157"/>
      <c r="B27" s="185"/>
      <c r="C27" s="185"/>
      <c r="D27" s="186"/>
      <c r="E27" s="98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99">
        <v>0.2</v>
      </c>
      <c r="N27" s="233"/>
      <c r="O27" s="144"/>
      <c r="P27" s="144"/>
    </row>
    <row r="28" spans="1:16" ht="15" hidden="1" customHeight="1" x14ac:dyDescent="0.25">
      <c r="A28" s="157"/>
      <c r="B28" s="46">
        <v>1</v>
      </c>
      <c r="C28" s="46">
        <v>2</v>
      </c>
      <c r="D28" s="46">
        <v>3</v>
      </c>
      <c r="E28" s="100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101">
        <v>12</v>
      </c>
      <c r="N28" s="91">
        <v>13</v>
      </c>
      <c r="O28" s="46">
        <v>14</v>
      </c>
      <c r="P28" s="48">
        <v>14</v>
      </c>
    </row>
    <row r="29" spans="1:16" ht="15" customHeight="1" x14ac:dyDescent="0.25">
      <c r="A29" s="26" t="s">
        <v>114</v>
      </c>
      <c r="B29" s="29">
        <f>'[3]3 категория!!!!!!!!!!!!!!!!'!I245</f>
        <v>24618</v>
      </c>
      <c r="C29" s="29">
        <v>2504</v>
      </c>
      <c r="D29" s="31">
        <f>B29/C29*0.2</f>
        <v>1.9662939297124602</v>
      </c>
      <c r="E29" s="90">
        <f>D29*$E$27*12</f>
        <v>371016.06900958472</v>
      </c>
      <c r="F29" s="31">
        <f>E29*$F$27</f>
        <v>112343.66569610225</v>
      </c>
      <c r="G29" s="31">
        <f>E29*$G$27</f>
        <v>8384.9631596166146</v>
      </c>
      <c r="H29" s="31">
        <f>E29*$H$27</f>
        <v>10017.433863258788</v>
      </c>
      <c r="I29" s="31">
        <f>E29*$I$27</f>
        <v>176232.63277955275</v>
      </c>
      <c r="J29" s="31">
        <f>SUM(E29:I29)</f>
        <v>677994.76450811513</v>
      </c>
      <c r="K29" s="31">
        <f>J29*$K$27</f>
        <v>2033.9842935243455</v>
      </c>
      <c r="L29" s="31">
        <f>SUM(J29:K29)</f>
        <v>680028.74880163942</v>
      </c>
      <c r="M29" s="29">
        <f>L29*$M$27</f>
        <v>136005.74976032789</v>
      </c>
      <c r="N29" s="29">
        <f>SUM(L29:M29)</f>
        <v>816034.49856196728</v>
      </c>
      <c r="O29" s="31">
        <f>N29/$E$4/12</f>
        <v>0.11271649333950585</v>
      </c>
      <c r="P29" s="52">
        <f>((O29*1.04)*1.055)*1.045</f>
        <v>0.12923780063425055</v>
      </c>
    </row>
    <row r="30" spans="1:16" ht="15" customHeight="1" x14ac:dyDescent="0.25">
      <c r="A30" s="26" t="s">
        <v>116</v>
      </c>
      <c r="B30" s="48">
        <f>'[3]3 категория!!!!!!!!!!!!!!!!'!H245</f>
        <v>7973</v>
      </c>
      <c r="C30" s="29">
        <v>2504</v>
      </c>
      <c r="D30" s="31">
        <f>B30/C30*0.59*4</f>
        <v>7.5144888178913734</v>
      </c>
      <c r="E30" s="90">
        <f>D30*$E$27*12</f>
        <v>1417893.8660702875</v>
      </c>
      <c r="F30" s="31">
        <f>E30*$F$27</f>
        <v>429338.26264608308</v>
      </c>
      <c r="G30" s="31">
        <f>E30*$G$27</f>
        <v>32044.401373188495</v>
      </c>
      <c r="H30" s="31">
        <f>E30*$H$27</f>
        <v>38283.134383897763</v>
      </c>
      <c r="I30" s="31">
        <f>E30*$I$27</f>
        <v>673499.58638338652</v>
      </c>
      <c r="J30" s="31">
        <f>SUM(E30:I30)</f>
        <v>2591059.2508568433</v>
      </c>
      <c r="K30" s="31">
        <f>J30*$K$27</f>
        <v>7773.1777525705302</v>
      </c>
      <c r="L30" s="31">
        <f>SUM(J30:K30)</f>
        <v>2598832.428609414</v>
      </c>
      <c r="M30" s="29">
        <f>L30*$M$27</f>
        <v>519766.48572188284</v>
      </c>
      <c r="N30" s="29">
        <f>SUM(L30:M30)</f>
        <v>3118598.9143312969</v>
      </c>
      <c r="O30" s="31">
        <f>N30/$E$4/12</f>
        <v>0.43076307971693018</v>
      </c>
      <c r="P30" s="52">
        <f>((O30*1.04)*1.055)*1.045</f>
        <v>0.49390174736335951</v>
      </c>
    </row>
    <row r="31" spans="1:16" ht="15" customHeight="1" x14ac:dyDescent="0.25">
      <c r="A31" s="33" t="s">
        <v>35</v>
      </c>
      <c r="B31" s="33"/>
      <c r="C31" s="33"/>
      <c r="D31" s="134">
        <f>SUM(D29:D30)</f>
        <v>9.4807827476038327</v>
      </c>
      <c r="E31" s="102"/>
      <c r="F31" s="33"/>
      <c r="G31" s="33"/>
      <c r="H31" s="33"/>
      <c r="I31" s="33"/>
      <c r="J31" s="33"/>
      <c r="K31" s="33"/>
      <c r="L31" s="33"/>
      <c r="M31" s="103"/>
      <c r="N31" s="103"/>
      <c r="O31" s="134">
        <f>SUM(O29:O30)</f>
        <v>0.54347957305643602</v>
      </c>
      <c r="P31" s="52">
        <f>0.59*1.045</f>
        <v>0.61654999999999993</v>
      </c>
    </row>
    <row r="32" spans="1:16" ht="15" customHeight="1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54"/>
    </row>
    <row r="33" spans="1:18" ht="15" hidden="1" customHeight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226" t="s">
        <v>31</v>
      </c>
      <c r="F33" s="163" t="str">
        <f>F25</f>
        <v>Страховые взносы                 ( руб.)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88</v>
      </c>
      <c r="M33" s="228" t="s">
        <v>14</v>
      </c>
      <c r="N33" s="230" t="s">
        <v>15</v>
      </c>
      <c r="O33" s="141" t="s">
        <v>16</v>
      </c>
      <c r="P33" s="141" t="s">
        <v>16</v>
      </c>
    </row>
    <row r="34" spans="1:18" ht="15" hidden="1" customHeight="1" x14ac:dyDescent="0.25">
      <c r="A34" s="157"/>
      <c r="B34" s="159"/>
      <c r="C34" s="159"/>
      <c r="D34" s="159"/>
      <c r="E34" s="227"/>
      <c r="F34" s="164"/>
      <c r="G34" s="166"/>
      <c r="H34" s="177"/>
      <c r="I34" s="177"/>
      <c r="J34" s="159"/>
      <c r="K34" s="159"/>
      <c r="L34" s="168"/>
      <c r="M34" s="229"/>
      <c r="N34" s="231"/>
      <c r="O34" s="142"/>
      <c r="P34" s="142"/>
    </row>
    <row r="35" spans="1:18" ht="15" hidden="1" customHeight="1" x14ac:dyDescent="0.25">
      <c r="A35" s="157"/>
      <c r="B35" s="160"/>
      <c r="C35" s="160"/>
      <c r="D35" s="160"/>
      <c r="E35" s="84">
        <v>15458</v>
      </c>
      <c r="F35" s="19">
        <v>0.30280000000000001</v>
      </c>
      <c r="G35" s="50">
        <v>0.19400000000000001</v>
      </c>
      <c r="H35" s="104">
        <v>0.16</v>
      </c>
      <c r="I35" s="104">
        <v>0.47499999999999998</v>
      </c>
      <c r="J35" s="160"/>
      <c r="K35" s="22">
        <v>3.0000000000000001E-3</v>
      </c>
      <c r="L35" s="169"/>
      <c r="M35" s="99">
        <v>0.2</v>
      </c>
      <c r="N35" s="232"/>
      <c r="O35" s="143"/>
      <c r="P35" s="143"/>
      <c r="R35" s="4">
        <f>D37+D53+D64+D68</f>
        <v>57.245899999999999</v>
      </c>
    </row>
    <row r="36" spans="1:18" ht="15" hidden="1" customHeight="1" x14ac:dyDescent="0.25">
      <c r="A36" s="157"/>
      <c r="B36" s="24">
        <v>1</v>
      </c>
      <c r="C36" s="24">
        <v>2</v>
      </c>
      <c r="D36" s="24">
        <v>3</v>
      </c>
      <c r="E36" s="86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87">
        <v>12</v>
      </c>
      <c r="N36" s="87">
        <v>13</v>
      </c>
      <c r="O36" s="24">
        <v>14</v>
      </c>
      <c r="P36" s="122">
        <v>14</v>
      </c>
    </row>
    <row r="37" spans="1:18" ht="15" customHeight="1" x14ac:dyDescent="0.25">
      <c r="A37" s="51" t="s">
        <v>38</v>
      </c>
      <c r="B37" s="52" t="s">
        <v>18</v>
      </c>
      <c r="C37" s="52" t="s">
        <v>18</v>
      </c>
      <c r="D37" s="53">
        <f>('[3]3 категория!!!!!!!!!!!!!!!!'!G245*43%)-D53-D64-D68</f>
        <v>4.4339000000000031</v>
      </c>
      <c r="E37" s="105">
        <f>D37*E35*12</f>
        <v>822470.71440000064</v>
      </c>
      <c r="F37" s="52">
        <f>E37*$F$35</f>
        <v>249044.1323203202</v>
      </c>
      <c r="G37" s="52">
        <f>E37*$G$35</f>
        <v>159559.31859360012</v>
      </c>
      <c r="H37" s="52">
        <f>E37*$H$35</f>
        <v>131595.31430400012</v>
      </c>
      <c r="I37" s="52">
        <f>E37*$I$35</f>
        <v>390673.5893400003</v>
      </c>
      <c r="J37" s="52">
        <f>SUM(E37:I37)</f>
        <v>1753343.0689579216</v>
      </c>
      <c r="K37" s="52">
        <f>J37*$K$35</f>
        <v>5260.0292068737645</v>
      </c>
      <c r="L37" s="52">
        <f>SUM(J37:K37)</f>
        <v>1758603.0981647954</v>
      </c>
      <c r="M37" s="106">
        <f>L37*$M$35</f>
        <v>351720.61963295913</v>
      </c>
      <c r="N37" s="106">
        <f>SUM(L37:M37)</f>
        <v>2110323.7177977543</v>
      </c>
      <c r="O37" s="107">
        <f>N37/$E$4/12</f>
        <v>0.29149293283620753</v>
      </c>
      <c r="P37" s="52">
        <f>((O37*1.04)*1.055)*1.045</f>
        <v>0.33421821797374185</v>
      </c>
    </row>
    <row r="38" spans="1:18" ht="15" customHeight="1" x14ac:dyDescent="0.2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1"/>
    </row>
    <row r="39" spans="1:18" ht="15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54"/>
    </row>
    <row r="40" spans="1:18" ht="15" customHeight="1" x14ac:dyDescent="0.25">
      <c r="A40" s="55" t="s">
        <v>41</v>
      </c>
      <c r="B40" s="187" t="s">
        <v>42</v>
      </c>
      <c r="C40" s="188"/>
      <c r="D40" s="59">
        <v>17.707999999999998</v>
      </c>
      <c r="E40" s="108">
        <f>D40*E35*12</f>
        <v>3284763.1679999996</v>
      </c>
      <c r="F40" s="31">
        <f>E40*$F$35</f>
        <v>994626.28727039997</v>
      </c>
      <c r="G40" s="31">
        <f>E40*$G$35</f>
        <v>637244.05459199997</v>
      </c>
      <c r="H40" s="31">
        <f>E40*$H$35</f>
        <v>525562.10687999998</v>
      </c>
      <c r="I40" s="31">
        <f>E40*$I$35</f>
        <v>1560262.5047999998</v>
      </c>
      <c r="J40" s="31">
        <f>SUM(E40:I40)</f>
        <v>7002458.1215423997</v>
      </c>
      <c r="K40" s="31">
        <f>J40*$K$35</f>
        <v>21007.374364627201</v>
      </c>
      <c r="L40" s="31">
        <f>SUM(J40:K40)</f>
        <v>7023465.4959070273</v>
      </c>
      <c r="M40" s="29">
        <f>L40*$M$35</f>
        <v>1404693.0991814055</v>
      </c>
      <c r="N40" s="29">
        <f>SUM(L40:M40)</f>
        <v>8428158.5950884335</v>
      </c>
      <c r="O40" s="127">
        <f>N40/$E$4/12</f>
        <v>1.164157255387708</v>
      </c>
      <c r="P40" s="52">
        <f>((O40*1.04)*1.055)*1.045</f>
        <v>1.3347924409389058</v>
      </c>
    </row>
    <row r="41" spans="1:18" ht="15" customHeight="1" x14ac:dyDescent="0.25">
      <c r="A41" s="55" t="s">
        <v>43</v>
      </c>
      <c r="B41" s="187" t="s">
        <v>42</v>
      </c>
      <c r="C41" s="188"/>
      <c r="D41" s="59">
        <v>0.97499999999999998</v>
      </c>
      <c r="E41" s="108">
        <f>D41*E35*12</f>
        <v>180858.59999999998</v>
      </c>
      <c r="F41" s="56">
        <f>E41*$F$35</f>
        <v>54763.984079999995</v>
      </c>
      <c r="G41" s="56">
        <f>E41*$G$35</f>
        <v>35086.568399999996</v>
      </c>
      <c r="H41" s="56">
        <f>E41*$H$35</f>
        <v>28937.375999999997</v>
      </c>
      <c r="I41" s="56">
        <f>E41*$I$35</f>
        <v>85907.834999999992</v>
      </c>
      <c r="J41" s="56">
        <f>SUM(E41:I41)</f>
        <v>385554.36347999994</v>
      </c>
      <c r="K41" s="56">
        <f>J41*$K$35</f>
        <v>1156.6630904399999</v>
      </c>
      <c r="L41" s="56">
        <f>SUM(J41:K41)</f>
        <v>386711.02657043992</v>
      </c>
      <c r="M41" s="29">
        <f>L41*$M$35</f>
        <v>77342.205314087987</v>
      </c>
      <c r="N41" s="29">
        <f>SUM(L41:M41)</f>
        <v>464053.23188452789</v>
      </c>
      <c r="O41" s="109">
        <f>N41/$E$4/12</f>
        <v>6.4098335441778578E-2</v>
      </c>
      <c r="P41" s="52">
        <f>((O41*1.04)*1.055)*1.045</f>
        <v>7.3493484860821842E-2</v>
      </c>
    </row>
    <row r="42" spans="1:18" ht="15" customHeight="1" x14ac:dyDescent="0.25">
      <c r="A42" s="58" t="s">
        <v>44</v>
      </c>
      <c r="B42" s="187" t="s">
        <v>30</v>
      </c>
      <c r="C42" s="188"/>
      <c r="D42" s="59">
        <v>1.224</v>
      </c>
      <c r="E42" s="108">
        <f>D42*E35*12</f>
        <v>227047.10399999999</v>
      </c>
      <c r="F42" s="31">
        <f>E42*$F$35</f>
        <v>68749.863091199994</v>
      </c>
      <c r="G42" s="31">
        <f>E42*$G$35</f>
        <v>44047.138176</v>
      </c>
      <c r="H42" s="31">
        <f>E42*$H$35</f>
        <v>36327.536639999998</v>
      </c>
      <c r="I42" s="31">
        <f>E42*$I$35</f>
        <v>107847.37439999999</v>
      </c>
      <c r="J42" s="31">
        <f>SUM(E42:I42)</f>
        <v>484019.01630719996</v>
      </c>
      <c r="K42" s="31">
        <f>J42*$K$35</f>
        <v>1452.0570489216</v>
      </c>
      <c r="L42" s="31">
        <f>SUM(J42:K42)</f>
        <v>485471.07335612155</v>
      </c>
      <c r="M42" s="29">
        <f>L42*$M$35</f>
        <v>97094.214671224312</v>
      </c>
      <c r="N42" s="29">
        <f>SUM(L42:M42)</f>
        <v>582565.2880273459</v>
      </c>
      <c r="O42" s="127">
        <f>N42/$E$4/12</f>
        <v>8.0468064185371266E-2</v>
      </c>
      <c r="P42" s="52">
        <f>((O42*1.04)*1.055)*1.045</f>
        <v>9.2262590225277871E-2</v>
      </c>
    </row>
    <row r="43" spans="1:18" ht="26.25" customHeight="1" x14ac:dyDescent="0.2">
      <c r="A43" s="151" t="s">
        <v>45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3"/>
    </row>
    <row r="44" spans="1:18" ht="15" customHeight="1" x14ac:dyDescent="0.25">
      <c r="A44" s="58" t="s">
        <v>46</v>
      </c>
      <c r="B44" s="187" t="s">
        <v>30</v>
      </c>
      <c r="C44" s="188"/>
      <c r="D44" s="59">
        <v>0.16600000000000001</v>
      </c>
      <c r="E44" s="108">
        <f>D44*$E$35*12</f>
        <v>30792.336000000003</v>
      </c>
      <c r="F44" s="31">
        <f>E44*$F$35</f>
        <v>9323.919340800001</v>
      </c>
      <c r="G44" s="31">
        <f>E44*$G$35</f>
        <v>5973.7131840000011</v>
      </c>
      <c r="H44" s="31">
        <f>E44*$H$35</f>
        <v>4926.7737600000009</v>
      </c>
      <c r="I44" s="31">
        <f>E44*$I$35</f>
        <v>14626.359600000002</v>
      </c>
      <c r="J44" s="31">
        <f>SUM(E44:I44)</f>
        <v>65643.101884800009</v>
      </c>
      <c r="K44" s="31">
        <f>J44*$K$35</f>
        <v>196.92930565440003</v>
      </c>
      <c r="L44" s="31">
        <f>SUM(J44:K44)</f>
        <v>65840.031190454407</v>
      </c>
      <c r="M44" s="29">
        <f>L44*$M$35</f>
        <v>13168.006238090882</v>
      </c>
      <c r="N44" s="29">
        <f>SUM(L44:M44)</f>
        <v>79008.037428545285</v>
      </c>
      <c r="O44" s="37">
        <f>N44/$E$4/12</f>
        <v>1.0913152495728459E-2</v>
      </c>
      <c r="P44" s="52">
        <f>((O44*1.04)*1.055)*1.045</f>
        <v>1.251273690963736E-2</v>
      </c>
    </row>
    <row r="45" spans="1:18" ht="15" customHeight="1" x14ac:dyDescent="0.25">
      <c r="A45" s="58" t="s">
        <v>47</v>
      </c>
      <c r="B45" s="187" t="s">
        <v>30</v>
      </c>
      <c r="C45" s="188"/>
      <c r="D45" s="59">
        <v>0.20599999999999999</v>
      </c>
      <c r="E45" s="108">
        <f>D45*$E$35*12</f>
        <v>38212.175999999999</v>
      </c>
      <c r="F45" s="31">
        <f>E45*$F$35</f>
        <v>11570.646892799999</v>
      </c>
      <c r="G45" s="31">
        <f>E45*$G$35</f>
        <v>7413.1621439999999</v>
      </c>
      <c r="H45" s="31">
        <f>E45*$H$35</f>
        <v>6113.9481599999999</v>
      </c>
      <c r="I45" s="31">
        <f>E45*$I$35</f>
        <v>18150.783599999999</v>
      </c>
      <c r="J45" s="31">
        <f>SUM(E45:I45)</f>
        <v>81460.716796799999</v>
      </c>
      <c r="K45" s="31">
        <f>J45*$K$35</f>
        <v>244.3821503904</v>
      </c>
      <c r="L45" s="31">
        <f>SUM(J45:K45)</f>
        <v>81705.098947190403</v>
      </c>
      <c r="M45" s="29">
        <f>L45*$M$35</f>
        <v>16341.019789438082</v>
      </c>
      <c r="N45" s="29">
        <f>SUM(L45:M45)</f>
        <v>98046.118736628487</v>
      </c>
      <c r="O45" s="37">
        <f>N45/$E$4/12</f>
        <v>1.3542827795903991E-2</v>
      </c>
      <c r="P45" s="52">
        <f>((O45*1.04)*1.055)*1.045</f>
        <v>1.5527854237260819E-2</v>
      </c>
    </row>
    <row r="46" spans="1:18" ht="15" customHeight="1" x14ac:dyDescent="0.25">
      <c r="A46" s="58" t="s">
        <v>48</v>
      </c>
      <c r="B46" s="187" t="s">
        <v>30</v>
      </c>
      <c r="C46" s="188"/>
      <c r="D46" s="59">
        <v>1.1060000000000001</v>
      </c>
      <c r="E46" s="108">
        <f>D46*$E$35*12</f>
        <v>205158.57600000003</v>
      </c>
      <c r="F46" s="31">
        <f>E46*$F$35</f>
        <v>62122.016812800015</v>
      </c>
      <c r="G46" s="31">
        <f>E46*$G$35</f>
        <v>39800.763744000003</v>
      </c>
      <c r="H46" s="31">
        <f>E46*$H$35</f>
        <v>32825.372160000006</v>
      </c>
      <c r="I46" s="31">
        <f>E46*$I$35</f>
        <v>97450.323600000003</v>
      </c>
      <c r="J46" s="31">
        <f>SUM(E46:I46)</f>
        <v>437357.05231680005</v>
      </c>
      <c r="K46" s="31">
        <f>J46*$K$35</f>
        <v>1312.0711569504001</v>
      </c>
      <c r="L46" s="31">
        <f>SUM(J46:K46)</f>
        <v>438669.12347375043</v>
      </c>
      <c r="M46" s="29">
        <f>L46*$M$35</f>
        <v>87733.824694750088</v>
      </c>
      <c r="N46" s="29">
        <f>SUM(L46:M46)</f>
        <v>526402.94816850056</v>
      </c>
      <c r="O46" s="37">
        <f>N46/$E$4/12</f>
        <v>7.2710522049853468E-2</v>
      </c>
      <c r="P46" s="52">
        <f>((O46*1.04)*1.055)*1.045</f>
        <v>8.3367994108788687E-2</v>
      </c>
    </row>
    <row r="47" spans="1:18" ht="15" customHeight="1" x14ac:dyDescent="0.25">
      <c r="A47" s="58" t="s">
        <v>49</v>
      </c>
      <c r="B47" s="187" t="s">
        <v>30</v>
      </c>
      <c r="C47" s="188"/>
      <c r="D47" s="59">
        <v>0.436</v>
      </c>
      <c r="E47" s="108">
        <f>D47*$E$35*12</f>
        <v>80876.255999999994</v>
      </c>
      <c r="F47" s="31">
        <f>E47*$F$35</f>
        <v>24489.330316799998</v>
      </c>
      <c r="G47" s="31">
        <f>E47*$G$35</f>
        <v>15689.993664</v>
      </c>
      <c r="H47" s="31">
        <f>E47*$H$35</f>
        <v>12940.20096</v>
      </c>
      <c r="I47" s="31">
        <f>E47*$I$35</f>
        <v>38416.221599999997</v>
      </c>
      <c r="J47" s="31">
        <f>SUM(E47:I47)</f>
        <v>172412.00254079996</v>
      </c>
      <c r="K47" s="31">
        <f>J47*$K$35</f>
        <v>517.23600762239994</v>
      </c>
      <c r="L47" s="31">
        <f>SUM(J47:K47)</f>
        <v>172929.23854842238</v>
      </c>
      <c r="M47" s="29">
        <f>L47*$M$35</f>
        <v>34585.84770968448</v>
      </c>
      <c r="N47" s="29">
        <f>SUM(L47:M47)</f>
        <v>207515.08625810686</v>
      </c>
      <c r="O47" s="37">
        <f>N47/$E$4/12</f>
        <v>2.8663460771913295E-2</v>
      </c>
      <c r="P47" s="52">
        <f>((O47*1.04)*1.055)*1.045</f>
        <v>3.2864778871095714E-2</v>
      </c>
    </row>
    <row r="48" spans="1:18" ht="15" customHeight="1" x14ac:dyDescent="0.25">
      <c r="A48" s="58" t="s">
        <v>50</v>
      </c>
      <c r="B48" s="187" t="s">
        <v>30</v>
      </c>
      <c r="C48" s="188"/>
      <c r="D48" s="59">
        <v>1.897</v>
      </c>
      <c r="E48" s="108">
        <f>D48*$E$35*12</f>
        <v>351885.91200000001</v>
      </c>
      <c r="F48" s="31">
        <f>E48*$F$35</f>
        <v>106551.05415360001</v>
      </c>
      <c r="G48" s="31">
        <f>E48*$G$35</f>
        <v>68265.866928000003</v>
      </c>
      <c r="H48" s="31">
        <f>E48*$H$35</f>
        <v>56301.745920000001</v>
      </c>
      <c r="I48" s="31">
        <f>E48*$I$35</f>
        <v>167145.8082</v>
      </c>
      <c r="J48" s="31">
        <f>SUM(E48:I48)</f>
        <v>750150.38720160001</v>
      </c>
      <c r="K48" s="31">
        <f>J48*$K$35</f>
        <v>2250.4511616048003</v>
      </c>
      <c r="L48" s="31">
        <f>SUM(J48:K48)</f>
        <v>752400.83836320485</v>
      </c>
      <c r="M48" s="29">
        <f>L48*$M$35</f>
        <v>150480.16767264096</v>
      </c>
      <c r="N48" s="29">
        <f>SUM(L48:M48)</f>
        <v>902881.00603584584</v>
      </c>
      <c r="O48" s="37">
        <f>N48/$E$4/12</f>
        <v>0.12471235111082461</v>
      </c>
      <c r="P48" s="52">
        <f>((O48*1.04)*1.05)*1.0455</f>
        <v>0.14238234529031293</v>
      </c>
    </row>
    <row r="49" spans="1:16" ht="15" customHeight="1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37"/>
    </row>
    <row r="50" spans="1:16" ht="15" customHeight="1" x14ac:dyDescent="0.25">
      <c r="A50" s="58" t="s">
        <v>52</v>
      </c>
      <c r="B50" s="187" t="s">
        <v>30</v>
      </c>
      <c r="C50" s="188"/>
      <c r="D50" s="59">
        <v>2.915</v>
      </c>
      <c r="E50" s="108">
        <f>D50*$E$35*12</f>
        <v>540720.84</v>
      </c>
      <c r="F50" s="31">
        <f>E50*$F$35</f>
        <v>163730.27035199999</v>
      </c>
      <c r="G50" s="31">
        <f>E50*$G$35</f>
        <v>104899.84295999999</v>
      </c>
      <c r="H50" s="31">
        <f>E50*$H$35</f>
        <v>86515.334399999992</v>
      </c>
      <c r="I50" s="31">
        <f>E50*$I$35</f>
        <v>256842.39899999998</v>
      </c>
      <c r="J50" s="31">
        <f>SUM(E50:I50)</f>
        <v>1152708.6867120001</v>
      </c>
      <c r="K50" s="31">
        <f>J50*$K$35</f>
        <v>3458.1260601360004</v>
      </c>
      <c r="L50" s="31">
        <f>SUM(J50:K50)</f>
        <v>1156166.8127721359</v>
      </c>
      <c r="M50" s="29">
        <f>L50*$M$35</f>
        <v>231233.36255442721</v>
      </c>
      <c r="N50" s="29">
        <f>SUM(L50:M50)</f>
        <v>1387400.1753265632</v>
      </c>
      <c r="O50" s="37">
        <f>N50/$E$4/12</f>
        <v>0.19163758750029189</v>
      </c>
      <c r="P50" s="52">
        <f>((O50*1.04)*1.055)*1.045</f>
        <v>0.21972667525055967</v>
      </c>
    </row>
    <row r="51" spans="1:16" ht="15" customHeight="1" x14ac:dyDescent="0.25">
      <c r="A51" s="58" t="s">
        <v>53</v>
      </c>
      <c r="B51" s="187" t="s">
        <v>30</v>
      </c>
      <c r="C51" s="188"/>
      <c r="D51" s="59">
        <v>0.28999999999999998</v>
      </c>
      <c r="E51" s="108">
        <f>D51*$E$35*12</f>
        <v>53793.84</v>
      </c>
      <c r="F51" s="31">
        <f>E51*$F$35</f>
        <v>16288.774751999999</v>
      </c>
      <c r="G51" s="31">
        <f>E51*$G$35</f>
        <v>10436.00496</v>
      </c>
      <c r="H51" s="31">
        <f>E51*$H$35</f>
        <v>8607.0144</v>
      </c>
      <c r="I51" s="31">
        <f>E51*$I$35</f>
        <v>25552.073999999997</v>
      </c>
      <c r="J51" s="31">
        <f>SUM(E51:I51)</f>
        <v>114677.70811199999</v>
      </c>
      <c r="K51" s="31">
        <f>J51*$K$35</f>
        <v>344.03312433600001</v>
      </c>
      <c r="L51" s="31">
        <f>SUM(J51:K51)</f>
        <v>115021.74123633599</v>
      </c>
      <c r="M51" s="29">
        <f>L51*$M$35</f>
        <v>23004.3482472672</v>
      </c>
      <c r="N51" s="29">
        <f>SUM(L51:M51)</f>
        <v>138026.08948360319</v>
      </c>
      <c r="O51" s="37">
        <f>N51/$E$4/12</f>
        <v>1.9065145926272606E-2</v>
      </c>
      <c r="P51" s="52">
        <f>((O51*1.04)*1.055)*1.045</f>
        <v>2.1859600625270082E-2</v>
      </c>
    </row>
    <row r="52" spans="1:16" ht="15" customHeight="1" x14ac:dyDescent="0.25">
      <c r="A52" s="58" t="s">
        <v>54</v>
      </c>
      <c r="B52" s="187" t="s">
        <v>30</v>
      </c>
      <c r="C52" s="188"/>
      <c r="D52" s="59">
        <v>0.44400000000000001</v>
      </c>
      <c r="E52" s="108">
        <f>D52*$E$35*12</f>
        <v>82360.224000000002</v>
      </c>
      <c r="F52" s="31">
        <f>E52*$F$35</f>
        <v>24938.675827200001</v>
      </c>
      <c r="G52" s="31">
        <f>E52*$G$35</f>
        <v>15977.883456000001</v>
      </c>
      <c r="H52" s="31">
        <f>E52*$H$35</f>
        <v>13177.635840000001</v>
      </c>
      <c r="I52" s="31">
        <f>E52*$I$35</f>
        <v>39121.106399999997</v>
      </c>
      <c r="J52" s="31">
        <f>SUM(E52:I52)</f>
        <v>175575.52552319999</v>
      </c>
      <c r="K52" s="31">
        <f>J52*$K$35</f>
        <v>526.72657656959996</v>
      </c>
      <c r="L52" s="31">
        <f>SUM(J52:K52)</f>
        <v>176102.2520997696</v>
      </c>
      <c r="M52" s="29">
        <f>L52*$M$35</f>
        <v>35220.450419953922</v>
      </c>
      <c r="N52" s="29">
        <f>SUM(L52:M52)</f>
        <v>211322.70251972351</v>
      </c>
      <c r="O52" s="37">
        <f>N52/$E$4/12</f>
        <v>2.9189395831948402E-2</v>
      </c>
      <c r="P52" s="52">
        <f>((O52*1.04)*1.055)*1.045</f>
        <v>3.3467802336620403E-2</v>
      </c>
    </row>
    <row r="53" spans="1:16" s="11" customFormat="1" ht="15" customHeight="1" x14ac:dyDescent="0.25">
      <c r="A53" s="60" t="s">
        <v>55</v>
      </c>
      <c r="B53" s="203"/>
      <c r="C53" s="219"/>
      <c r="D53" s="134">
        <f>D40+D41+D44+D45+D42+D46+D47+D48+D50+D51+D52</f>
        <v>27.366999999999997</v>
      </c>
      <c r="E53" s="110">
        <f t="shared" ref="E53:O53" si="3">E40+E41+E44+E45+E42+E46+E47+E48+E50+E51+E52</f>
        <v>5076469.0319999997</v>
      </c>
      <c r="F53" s="134">
        <f t="shared" si="3"/>
        <v>1537154.8228895999</v>
      </c>
      <c r="G53" s="134">
        <f t="shared" si="3"/>
        <v>984834.99220799992</v>
      </c>
      <c r="H53" s="134">
        <f t="shared" si="3"/>
        <v>812235.04512000002</v>
      </c>
      <c r="I53" s="134">
        <f t="shared" si="3"/>
        <v>2411322.7901999997</v>
      </c>
      <c r="J53" s="134">
        <f t="shared" si="3"/>
        <v>10822016.682417601</v>
      </c>
      <c r="K53" s="134">
        <f t="shared" si="3"/>
        <v>32466.050047252804</v>
      </c>
      <c r="L53" s="134">
        <f t="shared" si="3"/>
        <v>10854482.732464854</v>
      </c>
      <c r="M53" s="111">
        <f t="shared" si="3"/>
        <v>2170896.5464929705</v>
      </c>
      <c r="N53" s="111">
        <f t="shared" si="3"/>
        <v>13025379.278957827</v>
      </c>
      <c r="O53" s="134">
        <f t="shared" si="3"/>
        <v>1.7991580984975943</v>
      </c>
      <c r="P53" s="52">
        <f>P52+P51+P50+P48+P47+P46+P45+P44+P42+P41+P40</f>
        <v>2.0622583036545512</v>
      </c>
    </row>
    <row r="54" spans="1:16" ht="15" customHeight="1" x14ac:dyDescent="0.2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3"/>
    </row>
    <row r="55" spans="1:16" ht="15" customHeight="1" x14ac:dyDescent="0.25">
      <c r="A55" s="58" t="s">
        <v>57</v>
      </c>
      <c r="B55" s="187" t="s">
        <v>58</v>
      </c>
      <c r="C55" s="188"/>
      <c r="D55" s="59">
        <v>1.736</v>
      </c>
      <c r="E55" s="105">
        <f>D55*$E$35*12</f>
        <v>322021.05599999998</v>
      </c>
      <c r="F55" s="52">
        <f>E55*$F$35</f>
        <v>97507.975756800006</v>
      </c>
      <c r="G55" s="52">
        <f>E55*$G$35</f>
        <v>62472.084863999997</v>
      </c>
      <c r="H55" s="52">
        <f>E55*$H$35</f>
        <v>51523.36896</v>
      </c>
      <c r="I55" s="52">
        <f>E55*$I$35</f>
        <v>152960.00159999999</v>
      </c>
      <c r="J55" s="52">
        <f>SUM(E55:I55)</f>
        <v>686484.48718079994</v>
      </c>
      <c r="K55" s="52">
        <f>J55*$K$35</f>
        <v>2059.4534615424</v>
      </c>
      <c r="L55" s="52">
        <f>SUM(J55:K55)</f>
        <v>688543.94064234232</v>
      </c>
      <c r="M55" s="106">
        <f>L55*$M$35</f>
        <v>137708.78812846847</v>
      </c>
      <c r="N55" s="106">
        <f>SUM(L55:M55)</f>
        <v>826252.72877081076</v>
      </c>
      <c r="O55" s="53">
        <f>N55/$E$4/12</f>
        <v>0.11412790802761807</v>
      </c>
      <c r="P55" s="52">
        <f>((O55*1.04)*1.055)*1.045</f>
        <v>0.13085609201885814</v>
      </c>
    </row>
    <row r="56" spans="1:16" ht="15" customHeight="1" x14ac:dyDescent="0.25">
      <c r="A56" s="63" t="s">
        <v>59</v>
      </c>
      <c r="B56" s="187" t="s">
        <v>60</v>
      </c>
      <c r="C56" s="188"/>
      <c r="D56" s="59">
        <v>0.14299999999999999</v>
      </c>
      <c r="E56" s="105">
        <f>D56*$E$35*12</f>
        <v>26525.927999999996</v>
      </c>
      <c r="F56" s="52">
        <f>E56*$F$35</f>
        <v>8032.0509983999991</v>
      </c>
      <c r="G56" s="52">
        <f>E56*$G$35</f>
        <v>5146.0300319999997</v>
      </c>
      <c r="H56" s="52">
        <f>E56*$H$35</f>
        <v>4244.1484799999998</v>
      </c>
      <c r="I56" s="52">
        <f>E56*$I$35</f>
        <v>12599.815799999998</v>
      </c>
      <c r="J56" s="52">
        <f>SUM(E56:I56)</f>
        <v>56547.97331039999</v>
      </c>
      <c r="K56" s="52">
        <f>J56*$K$35</f>
        <v>169.64391993119997</v>
      </c>
      <c r="L56" s="52">
        <f>SUM(J56:K56)</f>
        <v>56717.617230331191</v>
      </c>
      <c r="M56" s="106">
        <f>L56*$M$35</f>
        <v>11343.52344606624</v>
      </c>
      <c r="N56" s="106">
        <f>SUM(L56:M56)</f>
        <v>68061.140676397423</v>
      </c>
      <c r="O56" s="53">
        <f>N56/$E$4/12</f>
        <v>9.4010891981275244E-3</v>
      </c>
      <c r="P56" s="52">
        <f>((O56*1.04)*1.055)*1.045</f>
        <v>1.0779044446253867E-2</v>
      </c>
    </row>
    <row r="57" spans="1:16" ht="15" customHeight="1" x14ac:dyDescent="0.25">
      <c r="A57" s="58" t="s">
        <v>61</v>
      </c>
      <c r="B57" s="187" t="s">
        <v>60</v>
      </c>
      <c r="C57" s="188"/>
      <c r="D57" s="59">
        <v>0.80200000000000005</v>
      </c>
      <c r="E57" s="105">
        <f>D57*$E$35*12</f>
        <v>148767.79200000002</v>
      </c>
      <c r="F57" s="52">
        <f>E57*$F$35</f>
        <v>45046.88741760001</v>
      </c>
      <c r="G57" s="52">
        <f>E57*$G$35</f>
        <v>28860.951648000006</v>
      </c>
      <c r="H57" s="52">
        <f>E57*$H$35</f>
        <v>23802.846720000001</v>
      </c>
      <c r="I57" s="52">
        <f>E57*$I$35</f>
        <v>70664.70120000001</v>
      </c>
      <c r="J57" s="52">
        <f>SUM(E57:I57)</f>
        <v>317143.17898560007</v>
      </c>
      <c r="K57" s="52">
        <f>J57*$K$35</f>
        <v>951.42953695680023</v>
      </c>
      <c r="L57" s="52">
        <f>SUM(J57:K57)</f>
        <v>318094.6085225569</v>
      </c>
      <c r="M57" s="106">
        <f>L57*$M$35</f>
        <v>63618.921704511384</v>
      </c>
      <c r="N57" s="106">
        <f>SUM(L57:M57)</f>
        <v>381713.53022706829</v>
      </c>
      <c r="O57" s="53">
        <f>N57/$E$4/12</f>
        <v>5.2724989768519435E-2</v>
      </c>
      <c r="P57" s="52">
        <f>((O57*1.04)*1.055)*1.045</f>
        <v>6.0453102418850393E-2</v>
      </c>
    </row>
    <row r="58" spans="1:16" ht="15" customHeight="1" x14ac:dyDescent="0.25">
      <c r="A58" s="58" t="s">
        <v>62</v>
      </c>
      <c r="B58" s="187" t="s">
        <v>60</v>
      </c>
      <c r="C58" s="188"/>
      <c r="D58" s="59">
        <v>1.321</v>
      </c>
      <c r="E58" s="105">
        <f>D58*$E$35*12</f>
        <v>245040.21600000001</v>
      </c>
      <c r="F58" s="52">
        <f>E58*$F$35</f>
        <v>74198.177404800008</v>
      </c>
      <c r="G58" s="52">
        <f>E58*$G$35</f>
        <v>47537.801904000007</v>
      </c>
      <c r="H58" s="52">
        <f>E58*$H$35</f>
        <v>39206.434560000002</v>
      </c>
      <c r="I58" s="52">
        <f>E58*$I$35</f>
        <v>116394.1026</v>
      </c>
      <c r="J58" s="52">
        <f>SUM(E58:I58)</f>
        <v>522376.73246880004</v>
      </c>
      <c r="K58" s="52">
        <f>J58*$K$35</f>
        <v>1567.1301974064002</v>
      </c>
      <c r="L58" s="52">
        <f>SUM(J58:K58)</f>
        <v>523943.86266620643</v>
      </c>
      <c r="M58" s="106">
        <f>L58*$M$35</f>
        <v>104788.7725332413</v>
      </c>
      <c r="N58" s="106">
        <f>SUM(L58:M58)</f>
        <v>628732.63519944774</v>
      </c>
      <c r="O58" s="53">
        <f>N58/$E$4/12</f>
        <v>8.6845026788296961E-2</v>
      </c>
      <c r="P58" s="52">
        <f>((O58*1.04)*1.055)*1.045</f>
        <v>9.9574249744764781E-2</v>
      </c>
    </row>
    <row r="59" spans="1:16" ht="15" customHeight="1" x14ac:dyDescent="0.25">
      <c r="A59" s="64" t="s">
        <v>63</v>
      </c>
      <c r="B59" s="187" t="s">
        <v>30</v>
      </c>
      <c r="C59" s="188"/>
      <c r="D59" s="194">
        <v>19.684999999999999</v>
      </c>
      <c r="E59" s="237">
        <f>D59*$E$35*12</f>
        <v>3651488.76</v>
      </c>
      <c r="F59" s="145">
        <f>E59*$F$35</f>
        <v>1105670.7965279999</v>
      </c>
      <c r="G59" s="145">
        <f>E59*$G$35</f>
        <v>708388.81943999999</v>
      </c>
      <c r="H59" s="145">
        <f>E59*$H$35</f>
        <v>584238.20160000003</v>
      </c>
      <c r="I59" s="145">
        <f>E59*$I$35</f>
        <v>1734457.1609999998</v>
      </c>
      <c r="J59" s="145">
        <f>SUM(E59:I59)</f>
        <v>7784243.7385680005</v>
      </c>
      <c r="K59" s="145">
        <f>J59*$K$35</f>
        <v>23352.731215704003</v>
      </c>
      <c r="L59" s="145">
        <f>SUM(J59:K59)</f>
        <v>7807596.4697837047</v>
      </c>
      <c r="M59" s="234">
        <f>L59*$M$35</f>
        <v>1561519.293956741</v>
      </c>
      <c r="N59" s="234">
        <f>SUM(L59:M59)</f>
        <v>9369115.7637404464</v>
      </c>
      <c r="O59" s="208">
        <f>N59/$E$4/12</f>
        <v>1.2941289570988839</v>
      </c>
      <c r="P59" s="145">
        <f>(1.9676789808*1.055)*1.045</f>
        <v>2.1693168843574795</v>
      </c>
    </row>
    <row r="60" spans="1:16" ht="15" customHeight="1" x14ac:dyDescent="0.25">
      <c r="A60" s="64" t="s">
        <v>64</v>
      </c>
      <c r="B60" s="187" t="s">
        <v>30</v>
      </c>
      <c r="C60" s="188"/>
      <c r="D60" s="195"/>
      <c r="E60" s="238"/>
      <c r="F60" s="146"/>
      <c r="G60" s="146"/>
      <c r="H60" s="146"/>
      <c r="I60" s="146"/>
      <c r="J60" s="146"/>
      <c r="K60" s="146"/>
      <c r="L60" s="146"/>
      <c r="M60" s="235"/>
      <c r="N60" s="235"/>
      <c r="O60" s="209"/>
      <c r="P60" s="146"/>
    </row>
    <row r="61" spans="1:16" ht="15" customHeight="1" x14ac:dyDescent="0.25">
      <c r="A61" s="64" t="s">
        <v>65</v>
      </c>
      <c r="B61" s="187" t="s">
        <v>42</v>
      </c>
      <c r="C61" s="188"/>
      <c r="D61" s="195"/>
      <c r="E61" s="238"/>
      <c r="F61" s="146"/>
      <c r="G61" s="146"/>
      <c r="H61" s="146"/>
      <c r="I61" s="146"/>
      <c r="J61" s="146"/>
      <c r="K61" s="146"/>
      <c r="L61" s="146"/>
      <c r="M61" s="235"/>
      <c r="N61" s="235"/>
      <c r="O61" s="209"/>
      <c r="P61" s="146"/>
    </row>
    <row r="62" spans="1:16" ht="15" customHeight="1" x14ac:dyDescent="0.25">
      <c r="A62" s="64" t="s">
        <v>66</v>
      </c>
      <c r="B62" s="187" t="s">
        <v>30</v>
      </c>
      <c r="C62" s="188"/>
      <c r="D62" s="196"/>
      <c r="E62" s="239"/>
      <c r="F62" s="147"/>
      <c r="G62" s="147"/>
      <c r="H62" s="147"/>
      <c r="I62" s="147"/>
      <c r="J62" s="147"/>
      <c r="K62" s="147"/>
      <c r="L62" s="147"/>
      <c r="M62" s="236"/>
      <c r="N62" s="236"/>
      <c r="O62" s="210"/>
      <c r="P62" s="147"/>
    </row>
    <row r="63" spans="1:16" ht="15" customHeight="1" x14ac:dyDescent="0.25">
      <c r="A63" s="58" t="s">
        <v>67</v>
      </c>
      <c r="B63" s="187" t="s">
        <v>42</v>
      </c>
      <c r="C63" s="188"/>
      <c r="D63" s="59">
        <v>0.108</v>
      </c>
      <c r="E63" s="105">
        <f>D63*$E$35*12</f>
        <v>20033.567999999999</v>
      </c>
      <c r="F63" s="52">
        <f>E63*$F$35</f>
        <v>6066.1643904000002</v>
      </c>
      <c r="G63" s="52">
        <f>E63*$G$35</f>
        <v>3886.5121920000001</v>
      </c>
      <c r="H63" s="52">
        <f>E63*$H$35</f>
        <v>3205.3708799999999</v>
      </c>
      <c r="I63" s="52">
        <f>E63*$I$35</f>
        <v>9515.9447999999993</v>
      </c>
      <c r="J63" s="52">
        <f>SUM(E63:I63)</f>
        <v>42707.560262400002</v>
      </c>
      <c r="K63" s="52">
        <f>J63*$K$35</f>
        <v>128.12268078720001</v>
      </c>
      <c r="L63" s="52">
        <f>SUM(J63:K63)</f>
        <v>42835.682943187203</v>
      </c>
      <c r="M63" s="106">
        <f>L63*$M$35</f>
        <v>8567.1365886374406</v>
      </c>
      <c r="N63" s="106">
        <f>SUM(L63:M63)</f>
        <v>51402.819531824643</v>
      </c>
      <c r="O63" s="53">
        <f>N63/$E$4/12</f>
        <v>7.1001233104739372E-3</v>
      </c>
      <c r="P63" s="52">
        <f>((O63*1.04)*1.055)*1.045</f>
        <v>8.1408167845833431E-3</v>
      </c>
    </row>
    <row r="64" spans="1:16" s="11" customFormat="1" ht="15" customHeight="1" x14ac:dyDescent="0.25">
      <c r="A64" s="61" t="s">
        <v>55</v>
      </c>
      <c r="B64" s="203"/>
      <c r="C64" s="219"/>
      <c r="D64" s="134">
        <f>SUM(D55:D63)</f>
        <v>23.794999999999998</v>
      </c>
      <c r="E64" s="110">
        <f t="shared" ref="E64:O64" si="4">SUM(E55:E63)</f>
        <v>4413877.32</v>
      </c>
      <c r="F64" s="134">
        <f t="shared" si="4"/>
        <v>1336522.052496</v>
      </c>
      <c r="G64" s="134">
        <f t="shared" si="4"/>
        <v>856292.20007999998</v>
      </c>
      <c r="H64" s="134">
        <f t="shared" si="4"/>
        <v>706220.37119999994</v>
      </c>
      <c r="I64" s="134">
        <f t="shared" si="4"/>
        <v>2096591.7269999997</v>
      </c>
      <c r="J64" s="134">
        <f t="shared" si="4"/>
        <v>9409503.6707760021</v>
      </c>
      <c r="K64" s="134">
        <f t="shared" si="4"/>
        <v>28228.511012328003</v>
      </c>
      <c r="L64" s="134">
        <f t="shared" si="4"/>
        <v>9437732.181788329</v>
      </c>
      <c r="M64" s="111">
        <f t="shared" si="4"/>
        <v>1887546.4363576658</v>
      </c>
      <c r="N64" s="111">
        <f t="shared" si="4"/>
        <v>11325278.618145995</v>
      </c>
      <c r="O64" s="134">
        <f t="shared" si="4"/>
        <v>1.5643280941919198</v>
      </c>
      <c r="P64" s="52">
        <f>((O64*1.04)*1.055)*1.045</f>
        <v>1.793617920270006</v>
      </c>
    </row>
    <row r="65" spans="1:16" ht="15" customHeight="1" x14ac:dyDescent="0.2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</row>
    <row r="66" spans="1:16" ht="15" customHeight="1" x14ac:dyDescent="0.25">
      <c r="A66" s="151" t="s">
        <v>69</v>
      </c>
      <c r="B66" s="152"/>
      <c r="C66" s="153"/>
      <c r="D66" s="59">
        <v>0.68</v>
      </c>
      <c r="E66" s="105">
        <f>D66*$E$35*12</f>
        <v>126137.28</v>
      </c>
      <c r="F66" s="52">
        <f>E66*$F$35</f>
        <v>38194.368384000001</v>
      </c>
      <c r="G66" s="52">
        <f>E66*$G$35</f>
        <v>24470.632320000001</v>
      </c>
      <c r="H66" s="52">
        <f>E66*$H$35</f>
        <v>20181.964800000002</v>
      </c>
      <c r="I66" s="52">
        <f>E66*$I$35</f>
        <v>59915.207999999999</v>
      </c>
      <c r="J66" s="52">
        <f>SUM(E66:I66)</f>
        <v>268899.45350399998</v>
      </c>
      <c r="K66" s="52">
        <f>J66*$K$35</f>
        <v>806.69836051199991</v>
      </c>
      <c r="L66" s="52">
        <f>SUM(J66:K66)</f>
        <v>269706.15186451195</v>
      </c>
      <c r="M66" s="106">
        <f>L66*$M$35</f>
        <v>53941.230372902392</v>
      </c>
      <c r="N66" s="106">
        <f>SUM(L66:M66)</f>
        <v>323647.38223741436</v>
      </c>
      <c r="O66" s="52">
        <f>N66/$E$4/12</f>
        <v>4.4704480102984036E-2</v>
      </c>
      <c r="P66" s="52">
        <f>((O66*1.04)*1.055)*1.045</f>
        <v>5.1256994569598813E-2</v>
      </c>
    </row>
    <row r="67" spans="1:16" ht="15" customHeight="1" x14ac:dyDescent="0.25">
      <c r="A67" s="151" t="s">
        <v>70</v>
      </c>
      <c r="B67" s="152"/>
      <c r="C67" s="153"/>
      <c r="D67" s="59">
        <v>0.97</v>
      </c>
      <c r="E67" s="105">
        <f>D67*$E$35*12</f>
        <v>179931.12</v>
      </c>
      <c r="F67" s="52">
        <f>E67*$F$35</f>
        <v>54483.143135999999</v>
      </c>
      <c r="G67" s="52">
        <f>E67*$G$35</f>
        <v>34906.637280000003</v>
      </c>
      <c r="H67" s="52">
        <f>E67*$H$35</f>
        <v>28788.979200000002</v>
      </c>
      <c r="I67" s="52">
        <f>E67*$I$35</f>
        <v>85467.281999999992</v>
      </c>
      <c r="J67" s="52">
        <f>SUM(E67:I67)</f>
        <v>383577.161616</v>
      </c>
      <c r="K67" s="52">
        <f>J67*$K$35</f>
        <v>1150.731484848</v>
      </c>
      <c r="L67" s="52">
        <f>SUM(J67:K67)</f>
        <v>384727.89310084801</v>
      </c>
      <c r="M67" s="106">
        <f>L67*$M$35</f>
        <v>76945.578620169603</v>
      </c>
      <c r="N67" s="106">
        <f>SUM(L67:M67)</f>
        <v>461673.47172101762</v>
      </c>
      <c r="O67" s="52">
        <f>N67/$E$4/12</f>
        <v>6.3769626029256649E-2</v>
      </c>
      <c r="P67" s="52">
        <f>((O67*1.04)*1.055)*1.045</f>
        <v>7.3116595194868905E-2</v>
      </c>
    </row>
    <row r="68" spans="1:16" ht="15" customHeight="1" x14ac:dyDescent="0.25">
      <c r="A68" s="151" t="s">
        <v>55</v>
      </c>
      <c r="B68" s="152"/>
      <c r="C68" s="153"/>
      <c r="D68" s="134">
        <f>D67+D66</f>
        <v>1.65</v>
      </c>
      <c r="E68" s="110">
        <f t="shared" ref="E68:O68" si="5">E67+E66</f>
        <v>306068.40000000002</v>
      </c>
      <c r="F68" s="134">
        <f t="shared" si="5"/>
        <v>92677.51152</v>
      </c>
      <c r="G68" s="134">
        <f t="shared" si="5"/>
        <v>59377.2696</v>
      </c>
      <c r="H68" s="134">
        <f t="shared" si="5"/>
        <v>48970.944000000003</v>
      </c>
      <c r="I68" s="134">
        <f t="shared" si="5"/>
        <v>145382.49</v>
      </c>
      <c r="J68" s="134">
        <f t="shared" si="5"/>
        <v>652476.61511999997</v>
      </c>
      <c r="K68" s="134">
        <f t="shared" si="5"/>
        <v>1957.4298453599999</v>
      </c>
      <c r="L68" s="134">
        <f t="shared" si="5"/>
        <v>654434.04496535996</v>
      </c>
      <c r="M68" s="111">
        <f t="shared" si="5"/>
        <v>130886.80899307199</v>
      </c>
      <c r="N68" s="111">
        <f t="shared" si="5"/>
        <v>785320.85395843198</v>
      </c>
      <c r="O68" s="134">
        <f t="shared" si="5"/>
        <v>0.10847410613224068</v>
      </c>
      <c r="P68" s="52">
        <f>((O68*1.04)*1.055)*1.045</f>
        <v>0.12437358976446772</v>
      </c>
    </row>
    <row r="69" spans="1:16" ht="15" customHeight="1" x14ac:dyDescent="0.25">
      <c r="A69" s="112"/>
      <c r="B69" s="113"/>
      <c r="C69" s="113"/>
      <c r="D69" s="113"/>
      <c r="E69" s="114"/>
      <c r="F69" s="113"/>
      <c r="G69" s="113"/>
      <c r="H69" s="113"/>
      <c r="I69" s="113"/>
      <c r="J69" s="113"/>
      <c r="K69" s="113"/>
      <c r="L69" s="113"/>
      <c r="M69" s="115"/>
      <c r="N69" s="115"/>
      <c r="O69" s="113"/>
      <c r="P69" s="52"/>
    </row>
    <row r="70" spans="1:16" ht="15" customHeight="1" x14ac:dyDescent="0.25">
      <c r="A70" s="179" t="s">
        <v>89</v>
      </c>
      <c r="B70" s="180"/>
      <c r="C70" s="181"/>
      <c r="D70" s="33"/>
      <c r="E70" s="102"/>
      <c r="F70" s="33"/>
      <c r="G70" s="33"/>
      <c r="H70" s="33"/>
      <c r="I70" s="33"/>
      <c r="J70" s="33">
        <f>0.37*E4*12</f>
        <v>2678691.96</v>
      </c>
      <c r="K70" s="33">
        <f>J70*0.3%</f>
        <v>8036.0758800000003</v>
      </c>
      <c r="L70" s="33">
        <f>SUM(J70:K70)</f>
        <v>2686728.0358799999</v>
      </c>
      <c r="M70" s="103">
        <f>L70*0.2</f>
        <v>537345.60717600002</v>
      </c>
      <c r="N70" s="103">
        <f>SUM(L70:M70)</f>
        <v>3224073.6430559997</v>
      </c>
      <c r="O70" s="31">
        <f>N70/E4/12</f>
        <v>0.44533200000000001</v>
      </c>
      <c r="P70" s="52">
        <f>(0.47*1.055)*1.045</f>
        <v>0.51816324999999996</v>
      </c>
    </row>
    <row r="71" spans="1:16" ht="15" customHeight="1" x14ac:dyDescent="0.25">
      <c r="A71" s="203"/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52"/>
    </row>
    <row r="72" spans="1:16" ht="15" customHeight="1" x14ac:dyDescent="0.25">
      <c r="A72" s="179" t="s">
        <v>72</v>
      </c>
      <c r="B72" s="180"/>
      <c r="C72" s="181"/>
      <c r="D72" s="33"/>
      <c r="E72" s="102"/>
      <c r="F72" s="33"/>
      <c r="G72" s="33"/>
      <c r="H72" s="33"/>
      <c r="I72" s="33"/>
      <c r="J72" s="33">
        <f>1.49*E4*12</f>
        <v>10787164.92</v>
      </c>
      <c r="K72" s="33">
        <f>J72*0.3%</f>
        <v>32361.494760000001</v>
      </c>
      <c r="L72" s="33">
        <f>SUM(J72:K72)</f>
        <v>10819526.414759999</v>
      </c>
      <c r="M72" s="103">
        <f>L72*0.2</f>
        <v>2163905.2829519999</v>
      </c>
      <c r="N72" s="103">
        <f>SUM(L72:M72)</f>
        <v>12983431.697711999</v>
      </c>
      <c r="O72" s="31">
        <f>N72/E4/12</f>
        <v>1.7933639999999997</v>
      </c>
      <c r="P72" s="52">
        <f>((O72*1.04)*1.055)*1.045</f>
        <v>2.0562245349359993</v>
      </c>
    </row>
    <row r="73" spans="1:16" ht="15" customHeight="1" x14ac:dyDescent="0.25">
      <c r="A73" s="203"/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52"/>
    </row>
    <row r="74" spans="1:16" ht="15" customHeight="1" x14ac:dyDescent="0.25">
      <c r="A74" s="220" t="s">
        <v>73</v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52"/>
    </row>
    <row r="75" spans="1:16" ht="15" customHeight="1" x14ac:dyDescent="0.25">
      <c r="A75" s="205" t="s">
        <v>75</v>
      </c>
      <c r="B75" s="206"/>
      <c r="C75" s="207"/>
      <c r="D75" s="66"/>
      <c r="E75" s="116"/>
      <c r="F75" s="66"/>
      <c r="G75" s="66"/>
      <c r="H75" s="66"/>
      <c r="I75" s="66"/>
      <c r="J75" s="117"/>
      <c r="K75" s="66"/>
      <c r="L75" s="66">
        <f>0.275*E4*12</f>
        <v>1990919.7000000002</v>
      </c>
      <c r="M75" s="118">
        <f>L75*0.2</f>
        <v>398183.94000000006</v>
      </c>
      <c r="N75" s="118">
        <f>L75+M75</f>
        <v>2389103.64</v>
      </c>
      <c r="O75" s="31">
        <f>N75/E4/12</f>
        <v>0.33</v>
      </c>
      <c r="P75" s="52">
        <v>0.71</v>
      </c>
    </row>
    <row r="76" spans="1:16" ht="15" customHeight="1" x14ac:dyDescent="0.25">
      <c r="A76" s="201" t="s">
        <v>22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32">
        <f>SUM(O75:O75)</f>
        <v>0.33</v>
      </c>
      <c r="P76" s="31">
        <f>P75</f>
        <v>0.71</v>
      </c>
    </row>
    <row r="77" spans="1:16" ht="15" customHeight="1" x14ac:dyDescent="0.25">
      <c r="A77" s="203"/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19"/>
      <c r="P77" s="34"/>
    </row>
    <row r="78" spans="1:16" s="9" customFormat="1" ht="26.25" customHeight="1" x14ac:dyDescent="0.25">
      <c r="A78" s="201" t="s">
        <v>124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O76+O72+O70+O37+O31+O21+O68+O64+O53+O22+O23</f>
        <v>14.38996209575223</v>
      </c>
      <c r="P78" s="31">
        <f>P76+P72+P70+P37+P31+P21+P68+P64+P53+P22+P23</f>
        <v>16.65823337474211</v>
      </c>
    </row>
    <row r="79" spans="1:16" ht="15" x14ac:dyDescent="0.25">
      <c r="A79" s="16"/>
      <c r="B79" s="16"/>
      <c r="C79" s="16"/>
      <c r="D79" s="16"/>
      <c r="E79" s="119"/>
      <c r="F79" s="16"/>
      <c r="G79" s="16"/>
      <c r="H79" s="16"/>
      <c r="I79" s="16"/>
      <c r="J79" s="16"/>
      <c r="K79" s="16"/>
      <c r="L79" s="16"/>
      <c r="M79" s="120"/>
      <c r="N79" s="120"/>
      <c r="O79" s="16"/>
      <c r="P79" s="16"/>
    </row>
    <row r="80" spans="1:16" ht="15" x14ac:dyDescent="0.25">
      <c r="A80" s="80" t="s">
        <v>94</v>
      </c>
      <c r="B80" s="80"/>
      <c r="C80" s="80"/>
      <c r="D80" s="80"/>
      <c r="E80" s="121"/>
      <c r="F80" s="14"/>
      <c r="G80" s="14"/>
      <c r="H80" s="14"/>
      <c r="I80" s="14"/>
      <c r="J80" s="14"/>
      <c r="K80" s="14"/>
      <c r="L80" s="80" t="s">
        <v>78</v>
      </c>
      <c r="M80" s="80"/>
      <c r="N80" s="80"/>
      <c r="O80" s="80"/>
      <c r="P80" s="81"/>
    </row>
    <row r="89" spans="4:4" s="1" customFormat="1" x14ac:dyDescent="0.2">
      <c r="D89" s="2">
        <f>D68+D64+D53+D37</f>
        <v>57.245899999999999</v>
      </c>
    </row>
  </sheetData>
  <mergeCells count="109">
    <mergeCell ref="A5:P5"/>
    <mergeCell ref="A77:O77"/>
    <mergeCell ref="A78:N78"/>
    <mergeCell ref="A71:O71"/>
    <mergeCell ref="A72:C72"/>
    <mergeCell ref="A73:O73"/>
    <mergeCell ref="A74:O74"/>
    <mergeCell ref="A75:C75"/>
    <mergeCell ref="A76:N76"/>
    <mergeCell ref="B64:C64"/>
    <mergeCell ref="A66:C66"/>
    <mergeCell ref="A67:C67"/>
    <mergeCell ref="A68:C68"/>
    <mergeCell ref="A70:C70"/>
    <mergeCell ref="N59:N62"/>
    <mergeCell ref="O59:O62"/>
    <mergeCell ref="B60:C60"/>
    <mergeCell ref="B61:C61"/>
    <mergeCell ref="B62:C62"/>
    <mergeCell ref="B63:C63"/>
    <mergeCell ref="H59:H62"/>
    <mergeCell ref="I59:I62"/>
    <mergeCell ref="J59:J62"/>
    <mergeCell ref="K59:K62"/>
    <mergeCell ref="L59:L62"/>
    <mergeCell ref="M59:M62"/>
    <mergeCell ref="B58:C58"/>
    <mergeCell ref="B59:C59"/>
    <mergeCell ref="D59:D62"/>
    <mergeCell ref="E59:E62"/>
    <mergeCell ref="F59:F62"/>
    <mergeCell ref="G59:G62"/>
    <mergeCell ref="B52:C52"/>
    <mergeCell ref="B53:C53"/>
    <mergeCell ref="B55:C55"/>
    <mergeCell ref="B56:C56"/>
    <mergeCell ref="B57:C57"/>
    <mergeCell ref="B46:C46"/>
    <mergeCell ref="B47:C47"/>
    <mergeCell ref="B48:C48"/>
    <mergeCell ref="A49:O49"/>
    <mergeCell ref="B50:C50"/>
    <mergeCell ref="B51:C51"/>
    <mergeCell ref="B40:C40"/>
    <mergeCell ref="B41:C41"/>
    <mergeCell ref="B42:C42"/>
    <mergeCell ref="B44:C44"/>
    <mergeCell ref="B45:C45"/>
    <mergeCell ref="J25:J27"/>
    <mergeCell ref="K25:K26"/>
    <mergeCell ref="L33:L35"/>
    <mergeCell ref="M33:M34"/>
    <mergeCell ref="N33:N35"/>
    <mergeCell ref="O33:O35"/>
    <mergeCell ref="A39:O39"/>
    <mergeCell ref="F33:F34"/>
    <mergeCell ref="G33:G34"/>
    <mergeCell ref="H33:H34"/>
    <mergeCell ref="I33:I34"/>
    <mergeCell ref="J33:J35"/>
    <mergeCell ref="K33:K34"/>
    <mergeCell ref="A2:P2"/>
    <mergeCell ref="P6:P8"/>
    <mergeCell ref="O6:O8"/>
    <mergeCell ref="A10:O10"/>
    <mergeCell ref="A18:O18"/>
    <mergeCell ref="D22:K22"/>
    <mergeCell ref="D23:K23"/>
    <mergeCell ref="A25:A28"/>
    <mergeCell ref="B25:B27"/>
    <mergeCell ref="C25:C27"/>
    <mergeCell ref="D25:D27"/>
    <mergeCell ref="E25:E26"/>
    <mergeCell ref="I6:I7"/>
    <mergeCell ref="J6:J8"/>
    <mergeCell ref="K6:K7"/>
    <mergeCell ref="L6:L8"/>
    <mergeCell ref="M6:M7"/>
    <mergeCell ref="N6:N8"/>
    <mergeCell ref="L25:L27"/>
    <mergeCell ref="M25:M26"/>
    <mergeCell ref="N25:N27"/>
    <mergeCell ref="O25:O27"/>
    <mergeCell ref="F25:F26"/>
    <mergeCell ref="G25:G26"/>
    <mergeCell ref="P25:P27"/>
    <mergeCell ref="P33:P35"/>
    <mergeCell ref="P59:P62"/>
    <mergeCell ref="A3:P3"/>
    <mergeCell ref="A38:P38"/>
    <mergeCell ref="A43:P43"/>
    <mergeCell ref="A54:P54"/>
    <mergeCell ref="A65:P65"/>
    <mergeCell ref="A6:A9"/>
    <mergeCell ref="B6:B8"/>
    <mergeCell ref="C6:C8"/>
    <mergeCell ref="D6:D8"/>
    <mergeCell ref="E6:E7"/>
    <mergeCell ref="F6:F7"/>
    <mergeCell ref="G6:G7"/>
    <mergeCell ref="H6:H7"/>
    <mergeCell ref="A32:O32"/>
    <mergeCell ref="A33:A36"/>
    <mergeCell ref="B33:B35"/>
    <mergeCell ref="C33:C35"/>
    <mergeCell ref="D33:D35"/>
    <mergeCell ref="E33:E34"/>
    <mergeCell ref="H25:H26"/>
    <mergeCell ref="I25:I26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9"/>
  <sheetViews>
    <sheetView zoomScale="150" zoomScaleNormal="150" workbookViewId="0">
      <selection activeCell="T16" sqref="T16"/>
    </sheetView>
  </sheetViews>
  <sheetFormatPr defaultColWidth="9.140625" defaultRowHeight="12.75" x14ac:dyDescent="0.2"/>
  <cols>
    <col min="1" max="1" width="72.7109375" style="2" customWidth="1"/>
    <col min="2" max="2" width="6.7109375" style="2" hidden="1" customWidth="1"/>
    <col min="3" max="3" width="7" style="2" hidden="1" customWidth="1"/>
    <col min="4" max="4" width="5.85546875" style="2" hidden="1" customWidth="1"/>
    <col min="5" max="5" width="9.28515625" style="12" hidden="1" customWidth="1"/>
    <col min="6" max="6" width="9.28515625" style="2" hidden="1" customWidth="1"/>
    <col min="7" max="7" width="8.5703125" style="2" hidden="1" customWidth="1"/>
    <col min="8" max="8" width="9" style="2" hidden="1" customWidth="1"/>
    <col min="9" max="9" width="10.42578125" style="2" hidden="1" customWidth="1"/>
    <col min="10" max="10" width="10.140625" style="2" hidden="1" customWidth="1"/>
    <col min="11" max="11" width="9.140625" style="2" hidden="1" customWidth="1"/>
    <col min="12" max="12" width="10.42578125" style="2" hidden="1" customWidth="1"/>
    <col min="13" max="14" width="8.42578125" style="13" hidden="1" customWidth="1"/>
    <col min="15" max="15" width="15.28515625" style="2" hidden="1" customWidth="1"/>
    <col min="16" max="16" width="17.1406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.5" customHeight="1" x14ac:dyDescent="0.2">
      <c r="A4" s="137" t="s">
        <v>0</v>
      </c>
      <c r="B4" s="136"/>
      <c r="C4" s="136"/>
      <c r="D4" s="136"/>
      <c r="E4" s="82">
        <v>603309</v>
      </c>
      <c r="F4" s="136" t="s">
        <v>1</v>
      </c>
      <c r="G4" s="136"/>
      <c r="H4" s="136"/>
      <c r="I4" s="136"/>
      <c r="J4" s="136"/>
      <c r="K4" s="136"/>
      <c r="L4" s="136"/>
      <c r="M4" s="83"/>
      <c r="N4" s="83"/>
      <c r="O4" s="136"/>
      <c r="P4" s="136"/>
    </row>
    <row r="5" spans="1:16" ht="14.25" x14ac:dyDescent="0.2">
      <c r="A5" s="155" t="s">
        <v>119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2.6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226" t="s">
        <v>84</v>
      </c>
      <c r="F6" s="163" t="s">
        <v>85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86</v>
      </c>
      <c r="M6" s="228" t="s">
        <v>14</v>
      </c>
      <c r="N6" s="230" t="s">
        <v>15</v>
      </c>
      <c r="O6" s="141" t="s">
        <v>16</v>
      </c>
      <c r="P6" s="141" t="s">
        <v>132</v>
      </c>
    </row>
    <row r="7" spans="1:16" ht="12.6" customHeight="1" x14ac:dyDescent="0.2">
      <c r="A7" s="157"/>
      <c r="B7" s="159"/>
      <c r="C7" s="159"/>
      <c r="D7" s="159"/>
      <c r="E7" s="227"/>
      <c r="F7" s="164"/>
      <c r="G7" s="166"/>
      <c r="H7" s="177"/>
      <c r="I7" s="177"/>
      <c r="J7" s="159"/>
      <c r="K7" s="159"/>
      <c r="L7" s="168"/>
      <c r="M7" s="229"/>
      <c r="N7" s="231"/>
      <c r="O7" s="142"/>
      <c r="P7" s="142"/>
    </row>
    <row r="8" spans="1:16" ht="41.1" customHeight="1" x14ac:dyDescent="0.2">
      <c r="A8" s="157"/>
      <c r="B8" s="160"/>
      <c r="C8" s="160"/>
      <c r="D8" s="160"/>
      <c r="E8" s="84">
        <v>12792</v>
      </c>
      <c r="F8" s="19">
        <v>0.30280000000000001</v>
      </c>
      <c r="G8" s="5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85">
        <v>0.2</v>
      </c>
      <c r="N8" s="232"/>
      <c r="O8" s="143"/>
      <c r="P8" s="142"/>
    </row>
    <row r="9" spans="1:16" ht="36.6" customHeight="1" x14ac:dyDescent="0.2">
      <c r="A9" s="157"/>
      <c r="B9" s="24">
        <v>1</v>
      </c>
      <c r="C9" s="24">
        <v>2</v>
      </c>
      <c r="D9" s="24">
        <v>3</v>
      </c>
      <c r="E9" s="86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87">
        <v>12</v>
      </c>
      <c r="N9" s="87">
        <v>13</v>
      </c>
      <c r="O9" s="24">
        <v>14</v>
      </c>
      <c r="P9" s="143"/>
    </row>
    <row r="10" spans="1:16" ht="15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71"/>
    </row>
    <row r="11" spans="1:16" ht="45" x14ac:dyDescent="0.2">
      <c r="A11" s="26" t="s">
        <v>106</v>
      </c>
      <c r="B11" s="27" t="s">
        <v>18</v>
      </c>
      <c r="C11" s="27" t="s">
        <v>18</v>
      </c>
      <c r="D11" s="27">
        <f>SUM(D12:D14)</f>
        <v>50.710165131837861</v>
      </c>
      <c r="E11" s="88">
        <f>SUM(E12:E14)</f>
        <v>7784213.1883976385</v>
      </c>
      <c r="F11" s="27">
        <f t="shared" ref="F11:N11" si="0">SUM(F12:F14)</f>
        <v>2357059.7534468048</v>
      </c>
      <c r="G11" s="27">
        <f t="shared" si="0"/>
        <v>175923.21805778661</v>
      </c>
      <c r="H11" s="27">
        <f t="shared" si="0"/>
        <v>210173.75608673622</v>
      </c>
      <c r="I11" s="27">
        <f t="shared" si="0"/>
        <v>3697501.2644888777</v>
      </c>
      <c r="J11" s="27">
        <f t="shared" si="0"/>
        <v>14224871.180477845</v>
      </c>
      <c r="K11" s="27">
        <f t="shared" si="0"/>
        <v>42674.613541433537</v>
      </c>
      <c r="L11" s="27">
        <f t="shared" si="0"/>
        <v>14267545.794019276</v>
      </c>
      <c r="M11" s="89">
        <f t="shared" si="0"/>
        <v>2853509.1588038555</v>
      </c>
      <c r="N11" s="89">
        <f t="shared" si="0"/>
        <v>17121054.952823132</v>
      </c>
      <c r="O11" s="27">
        <f>SUM(O12:O14)</f>
        <v>2.3648819749115755</v>
      </c>
      <c r="P11" s="27">
        <f>(2.31*1.055)*1.045</f>
        <v>2.5467172499999995</v>
      </c>
    </row>
    <row r="12" spans="1:16" ht="15" x14ac:dyDescent="0.25">
      <c r="A12" s="28" t="s">
        <v>19</v>
      </c>
      <c r="B12" s="29">
        <f>'[3]3 категория!!!!!!!!!!!!!!!!'!V245</f>
        <v>35402</v>
      </c>
      <c r="C12" s="29">
        <v>3630</v>
      </c>
      <c r="D12" s="30">
        <f>B12/C12</f>
        <v>9.7526170798898075</v>
      </c>
      <c r="E12" s="90">
        <f>D12*$E$8*12</f>
        <v>1497065.7322314051</v>
      </c>
      <c r="F12" s="31">
        <f>E12*$F$8</f>
        <v>453311.50371966948</v>
      </c>
      <c r="G12" s="31">
        <f>E12*$G$8</f>
        <v>33833.685548429756</v>
      </c>
      <c r="H12" s="31">
        <f>E12*$H$8</f>
        <v>40420.774770247939</v>
      </c>
      <c r="I12" s="31">
        <f>E12*$I$8</f>
        <v>711106.22280991741</v>
      </c>
      <c r="J12" s="31">
        <f>SUM(E12:I12)</f>
        <v>2735737.9190796698</v>
      </c>
      <c r="K12" s="31">
        <f>J12*$K$8</f>
        <v>8207.2137572390093</v>
      </c>
      <c r="L12" s="32">
        <f>SUM(J12:K12)</f>
        <v>2743945.1328369086</v>
      </c>
      <c r="M12" s="29">
        <f>L12*$M$8</f>
        <v>548789.02656738169</v>
      </c>
      <c r="N12" s="91">
        <f>SUM(L12:M12)</f>
        <v>3292734.1594042904</v>
      </c>
      <c r="O12" s="31">
        <f>N12/$E$4/12</f>
        <v>0.45481587923218592</v>
      </c>
      <c r="P12" s="52">
        <f>(0.47*1.055)*1.045</f>
        <v>0.51816324999999996</v>
      </c>
    </row>
    <row r="13" spans="1:16" ht="15" x14ac:dyDescent="0.25">
      <c r="A13" s="28" t="s">
        <v>20</v>
      </c>
      <c r="B13" s="29">
        <v>124900</v>
      </c>
      <c r="C13" s="29">
        <v>3080</v>
      </c>
      <c r="D13" s="30">
        <f>B13/C13</f>
        <v>40.551948051948052</v>
      </c>
      <c r="E13" s="90">
        <f>D13*$E$8*12</f>
        <v>6224886.2337662335</v>
      </c>
      <c r="F13" s="31">
        <f>E13*$F$8</f>
        <v>1884895.5515844156</v>
      </c>
      <c r="G13" s="31">
        <f>E13*$G$8</f>
        <v>140682.42888311687</v>
      </c>
      <c r="H13" s="31">
        <f>E13*$H$8</f>
        <v>168071.9283116883</v>
      </c>
      <c r="I13" s="31">
        <f>E13*$I$8</f>
        <v>2956820.9610389606</v>
      </c>
      <c r="J13" s="31">
        <f>SUM(E13:I13)</f>
        <v>11375357.103584414</v>
      </c>
      <c r="K13" s="31">
        <f>J13*$K$8</f>
        <v>34126.071310753243</v>
      </c>
      <c r="L13" s="32">
        <f>SUM(J13:K13)</f>
        <v>11409483.174895167</v>
      </c>
      <c r="M13" s="29">
        <f>L13*$M$8</f>
        <v>2281896.6349790334</v>
      </c>
      <c r="N13" s="91">
        <f>SUM(L13:M13)</f>
        <v>13691379.809874201</v>
      </c>
      <c r="O13" s="31">
        <f>N13/$E$4/12</f>
        <v>1.8911508323090105</v>
      </c>
      <c r="P13" s="52">
        <f>((O13*1.04)*1.055)*1.045</f>
        <v>2.1683443744038713</v>
      </c>
    </row>
    <row r="14" spans="1:16" ht="15" x14ac:dyDescent="0.25">
      <c r="A14" s="28" t="s">
        <v>21</v>
      </c>
      <c r="B14" s="29">
        <f>'[3]3 категория!!!!!!!!!!!!!!!!'!X245</f>
        <v>1014</v>
      </c>
      <c r="C14" s="29">
        <v>2500</v>
      </c>
      <c r="D14" s="30">
        <f>B14/C14</f>
        <v>0.40560000000000002</v>
      </c>
      <c r="E14" s="90">
        <f>D14*$E$8*12</f>
        <v>62261.222399999999</v>
      </c>
      <c r="F14" s="31">
        <f>E14*$F$8</f>
        <v>18852.698142720001</v>
      </c>
      <c r="G14" s="31">
        <f>E14*$G$8</f>
        <v>1407.1036262399998</v>
      </c>
      <c r="H14" s="31">
        <f>E14*$H$8</f>
        <v>1681.0530048000001</v>
      </c>
      <c r="I14" s="31">
        <f>E14*$I$8</f>
        <v>29574.080639999996</v>
      </c>
      <c r="J14" s="31">
        <f>SUM(E14:I14)</f>
        <v>113776.15781376002</v>
      </c>
      <c r="K14" s="31">
        <f>J14*$K$8</f>
        <v>341.32847344128004</v>
      </c>
      <c r="L14" s="32">
        <f>SUM(J14:K14)</f>
        <v>114117.48628720129</v>
      </c>
      <c r="M14" s="29">
        <f>L14*$M$8</f>
        <v>22823.49725744026</v>
      </c>
      <c r="N14" s="91">
        <f>SUM(L14:M14)</f>
        <v>136940.98354464155</v>
      </c>
      <c r="O14" s="31">
        <f>N14/$E$4/12</f>
        <v>1.8915263370379239E-2</v>
      </c>
      <c r="P14" s="52">
        <f>((O14*1.04)*1.055)*1.045</f>
        <v>2.1687749183629201E-2</v>
      </c>
    </row>
    <row r="15" spans="1:16" ht="15" x14ac:dyDescent="0.25">
      <c r="A15" s="26" t="s">
        <v>98</v>
      </c>
      <c r="B15" s="29">
        <f>'[3]3 категория!!!!!!!!!!!!!!!!'!T245*55%</f>
        <v>121271.70000000001</v>
      </c>
      <c r="C15" s="29">
        <v>30000</v>
      </c>
      <c r="D15" s="31">
        <f>B15/C15</f>
        <v>4.0423900000000001</v>
      </c>
      <c r="E15" s="90">
        <f>$E$8*D15*12</f>
        <v>620523.03456000006</v>
      </c>
      <c r="F15" s="31">
        <f>E15*$F$8</f>
        <v>187894.37486476803</v>
      </c>
      <c r="G15" s="31">
        <f>E15*$G$8</f>
        <v>14023.820581056001</v>
      </c>
      <c r="H15" s="31">
        <f>E15*$H$8</f>
        <v>16754.121933120001</v>
      </c>
      <c r="I15" s="31">
        <f>E15*$I$8</f>
        <v>294748.44141600002</v>
      </c>
      <c r="J15" s="31">
        <f>E15+F15+G15+H15+I15</f>
        <v>1133943.7933549439</v>
      </c>
      <c r="K15" s="31">
        <f>J15*$K$8</f>
        <v>3401.8313800648316</v>
      </c>
      <c r="L15" s="32">
        <f>J15+K15</f>
        <v>1137345.6247350087</v>
      </c>
      <c r="M15" s="29">
        <f>L15*$M$8</f>
        <v>227469.12494700175</v>
      </c>
      <c r="N15" s="91">
        <f>L15+M15</f>
        <v>1364814.7496820104</v>
      </c>
      <c r="O15" s="31">
        <f>N15/$E$4/12</f>
        <v>0.18851792775095491</v>
      </c>
      <c r="P15" s="52">
        <f>((O15*1.04)*1.055)*1.045</f>
        <v>0.21614975449312335</v>
      </c>
    </row>
    <row r="16" spans="1:16" ht="45" x14ac:dyDescent="0.25">
      <c r="A16" s="28" t="s">
        <v>109</v>
      </c>
      <c r="B16" s="29">
        <f>'[3]3 категория!!!!!!!!!!!!!!!!'!U245*76%</f>
        <v>97657.72</v>
      </c>
      <c r="C16" s="29">
        <v>10000</v>
      </c>
      <c r="D16" s="31">
        <f>B16/C16</f>
        <v>9.7657720000000001</v>
      </c>
      <c r="E16" s="90">
        <f>$E$8*D16*12</f>
        <v>1499085.0650880001</v>
      </c>
      <c r="F16" s="31">
        <f>E16*$F$8</f>
        <v>453922.95770864649</v>
      </c>
      <c r="G16" s="31">
        <f>E16*$G$8</f>
        <v>33879.322470988802</v>
      </c>
      <c r="H16" s="31">
        <f>E16*$H$8</f>
        <v>40475.296757376003</v>
      </c>
      <c r="I16" s="31">
        <f>E16*$I$8</f>
        <v>712065.40591680002</v>
      </c>
      <c r="J16" s="31">
        <f>E16+F16+G16+H16+I16</f>
        <v>2739428.0479418114</v>
      </c>
      <c r="K16" s="31">
        <f>J16*$K$8</f>
        <v>8218.2841438254345</v>
      </c>
      <c r="L16" s="32">
        <f>J16+K16</f>
        <v>2747646.3320856369</v>
      </c>
      <c r="M16" s="29">
        <f>L16*$M$8</f>
        <v>549529.26641712745</v>
      </c>
      <c r="N16" s="91">
        <f>L16+M16</f>
        <v>3297175.5985027645</v>
      </c>
      <c r="O16" s="31">
        <f>N16/$E$4/12</f>
        <v>0.45542936241389359</v>
      </c>
      <c r="P16" s="52">
        <f>((O16*1.04)*1.055)*1.045</f>
        <v>0.52218346578034758</v>
      </c>
    </row>
    <row r="17" spans="1:16" ht="15" x14ac:dyDescent="0.2">
      <c r="A17" s="33" t="s">
        <v>22</v>
      </c>
      <c r="B17" s="32"/>
      <c r="C17" s="32"/>
      <c r="D17" s="32">
        <f>SUM(D12:D16)</f>
        <v>64.518327131837864</v>
      </c>
      <c r="E17" s="92">
        <f>SUM(E12:E16)</f>
        <v>9903821.2880456392</v>
      </c>
      <c r="F17" s="35">
        <f t="shared" ref="F17:N17" si="1">SUM(F12:F16)</f>
        <v>2998877.0860202196</v>
      </c>
      <c r="G17" s="35">
        <f t="shared" si="1"/>
        <v>223826.36110983143</v>
      </c>
      <c r="H17" s="35">
        <f t="shared" si="1"/>
        <v>267403.17477723223</v>
      </c>
      <c r="I17" s="35">
        <f t="shared" si="1"/>
        <v>4704315.1118216775</v>
      </c>
      <c r="J17" s="35">
        <f t="shared" si="1"/>
        <v>18098243.021774597</v>
      </c>
      <c r="K17" s="35">
        <f t="shared" si="1"/>
        <v>54294.729065323801</v>
      </c>
      <c r="L17" s="35">
        <f t="shared" si="1"/>
        <v>18152537.750839923</v>
      </c>
      <c r="M17" s="93">
        <f t="shared" si="1"/>
        <v>3630507.5501679848</v>
      </c>
      <c r="N17" s="93">
        <f t="shared" si="1"/>
        <v>21783045.301007904</v>
      </c>
      <c r="O17" s="32">
        <f>SUM(O11:O16)</f>
        <v>5.3737112399880003</v>
      </c>
      <c r="P17" s="27">
        <f>P11+P12+P13+P14+P15+P16</f>
        <v>5.9932458438609704</v>
      </c>
    </row>
    <row r="18" spans="1:16" ht="15" x14ac:dyDescent="0.25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34"/>
    </row>
    <row r="19" spans="1:16" ht="45" x14ac:dyDescent="0.25">
      <c r="A19" s="28" t="s">
        <v>24</v>
      </c>
      <c r="B19" s="29">
        <v>47436</v>
      </c>
      <c r="C19" s="29">
        <v>1066</v>
      </c>
      <c r="D19" s="32">
        <f>B19/C19</f>
        <v>44.49906191369606</v>
      </c>
      <c r="E19" s="90">
        <f>E8*D19*12</f>
        <v>6830784</v>
      </c>
      <c r="F19" s="31">
        <f>E19*F8</f>
        <v>2068361.3952000001</v>
      </c>
      <c r="G19" s="31">
        <f>E19*G8</f>
        <v>154375.71839999998</v>
      </c>
      <c r="H19" s="31">
        <f>E19*H8</f>
        <v>184431.16800000001</v>
      </c>
      <c r="I19" s="31">
        <f>E19*I8</f>
        <v>3244622.4</v>
      </c>
      <c r="J19" s="31">
        <f>E19+F19+G19+H19+I19</f>
        <v>12482574.681599999</v>
      </c>
      <c r="K19" s="31">
        <f>J19*K8</f>
        <v>37447.724044799994</v>
      </c>
      <c r="L19" s="31">
        <f>J19+K19</f>
        <v>12520022.405644799</v>
      </c>
      <c r="M19" s="29">
        <f>L19*M8</f>
        <v>2504004.4811289599</v>
      </c>
      <c r="N19" s="91">
        <f>L19+M19</f>
        <v>15024026.886773758</v>
      </c>
      <c r="O19" s="31">
        <f>N19/$E$4/12</f>
        <v>2.0752255321310966</v>
      </c>
      <c r="P19" s="52">
        <f>((O19*1.04)*1.055)*1.045</f>
        <v>2.3793996392776799</v>
      </c>
    </row>
    <row r="20" spans="1:16" ht="15" x14ac:dyDescent="0.25">
      <c r="A20" s="33" t="s">
        <v>25</v>
      </c>
      <c r="B20" s="29">
        <f>'[3]3 категория!!!!!!!!!!!!!!!!'!O204</f>
        <v>125</v>
      </c>
      <c r="C20" s="29">
        <v>512</v>
      </c>
      <c r="D20" s="32">
        <f>B20/C20</f>
        <v>0.244140625</v>
      </c>
      <c r="E20" s="92">
        <f>D20*E8*12</f>
        <v>37476.5625</v>
      </c>
      <c r="F20" s="31">
        <f>E20*F8</f>
        <v>11347.903125000001</v>
      </c>
      <c r="G20" s="31">
        <f>E20*G8</f>
        <v>846.97031249999998</v>
      </c>
      <c r="H20" s="31">
        <f>E20*H8</f>
        <v>1011.8671875</v>
      </c>
      <c r="I20" s="31">
        <f>E20*I8</f>
        <v>17801.3671875</v>
      </c>
      <c r="J20" s="31">
        <f>E20+F20+G20+H20+I20</f>
        <v>68484.670312500006</v>
      </c>
      <c r="K20" s="31">
        <f>J20*K8</f>
        <v>205.45401093750002</v>
      </c>
      <c r="L20" s="31">
        <f>J20+K20</f>
        <v>68690.1243234375</v>
      </c>
      <c r="M20" s="29">
        <f>L20*M8</f>
        <v>13738.024864687501</v>
      </c>
      <c r="N20" s="91">
        <f>L20+M20</f>
        <v>82428.149188124997</v>
      </c>
      <c r="O20" s="31">
        <f>N20/E4/12</f>
        <v>1.1385562675749491E-2</v>
      </c>
      <c r="P20" s="31">
        <v>0</v>
      </c>
    </row>
    <row r="21" spans="1:16" ht="15" x14ac:dyDescent="0.25">
      <c r="A21" s="33" t="s">
        <v>26</v>
      </c>
      <c r="B21" s="36"/>
      <c r="C21" s="36"/>
      <c r="D21" s="36"/>
      <c r="E21" s="92">
        <f>E20+E17+E19</f>
        <v>16772081.850545639</v>
      </c>
      <c r="F21" s="35">
        <f t="shared" ref="F21:N21" si="2">F20+F17+F19</f>
        <v>5078586.3843452204</v>
      </c>
      <c r="G21" s="35">
        <f t="shared" si="2"/>
        <v>379049.04982233141</v>
      </c>
      <c r="H21" s="35">
        <f t="shared" si="2"/>
        <v>452846.20996473223</v>
      </c>
      <c r="I21" s="35">
        <f t="shared" si="2"/>
        <v>7966738.8790091779</v>
      </c>
      <c r="J21" s="35">
        <f t="shared" si="2"/>
        <v>30649302.373687096</v>
      </c>
      <c r="K21" s="35">
        <f t="shared" si="2"/>
        <v>91947.907121061289</v>
      </c>
      <c r="L21" s="35">
        <f t="shared" si="2"/>
        <v>30741250.280808158</v>
      </c>
      <c r="M21" s="93">
        <f t="shared" si="2"/>
        <v>6148250.0561616328</v>
      </c>
      <c r="N21" s="93">
        <f t="shared" si="2"/>
        <v>36889500.336969785</v>
      </c>
      <c r="O21" s="35">
        <f>O20+O17+O19</f>
        <v>7.4603223347948457</v>
      </c>
      <c r="P21" s="52">
        <f>8.02*1.045</f>
        <v>8.3808999999999987</v>
      </c>
    </row>
    <row r="22" spans="1:16" ht="30" x14ac:dyDescent="0.25">
      <c r="A22" s="33" t="s">
        <v>27</v>
      </c>
      <c r="B22" s="37" t="s">
        <v>30</v>
      </c>
      <c r="C22" s="38">
        <f>'[3]3 категория!!!!!!!!!!!!!!!!'!Z245</f>
        <v>114105.92</v>
      </c>
      <c r="D22" s="174"/>
      <c r="E22" s="175"/>
      <c r="F22" s="175"/>
      <c r="G22" s="175"/>
      <c r="H22" s="175"/>
      <c r="I22" s="175"/>
      <c r="J22" s="175"/>
      <c r="K22" s="176"/>
      <c r="L22" s="94">
        <f>'[3]3 категория!!!!!!!!!!!!!!!!'!AA245</f>
        <v>57052.959999999999</v>
      </c>
      <c r="M22" s="95">
        <f>L22*0.2</f>
        <v>11410.592000000001</v>
      </c>
      <c r="N22" s="95">
        <f>SUM(L22:M22)</f>
        <v>68463.551999999996</v>
      </c>
      <c r="O22" s="75">
        <f>N22/E4/12</f>
        <v>9.456673114440527E-3</v>
      </c>
      <c r="P22" s="52">
        <f>((O22*1.04)*1.055)*1.045</f>
        <v>1.0842775519516531E-2</v>
      </c>
    </row>
    <row r="23" spans="1:16" ht="30" x14ac:dyDescent="0.25">
      <c r="A23" s="33" t="s">
        <v>29</v>
      </c>
      <c r="B23" s="37" t="s">
        <v>30</v>
      </c>
      <c r="C23" s="38">
        <f>'[3]3 категория!!!!!!!!!!!!!!!!'!Z245</f>
        <v>114105.92</v>
      </c>
      <c r="D23" s="174"/>
      <c r="E23" s="175"/>
      <c r="F23" s="175"/>
      <c r="G23" s="175"/>
      <c r="H23" s="175"/>
      <c r="I23" s="175"/>
      <c r="J23" s="175"/>
      <c r="K23" s="176"/>
      <c r="L23" s="94">
        <f>'[3]3 категория!!!!!!!!!!!!!!!!'!AB245</f>
        <v>268800</v>
      </c>
      <c r="M23" s="95">
        <f>L23*0.2</f>
        <v>53760</v>
      </c>
      <c r="N23" s="95">
        <f>SUM(L23:M23)</f>
        <v>322560</v>
      </c>
      <c r="O23" s="75">
        <f>N23/E4/12</f>
        <v>4.455428312854607E-2</v>
      </c>
      <c r="P23" s="52">
        <f>((O23*1.04)*1.055)*1.045</f>
        <v>5.108478262382958E-2</v>
      </c>
    </row>
    <row r="24" spans="1:16" ht="15" x14ac:dyDescent="0.25">
      <c r="A24" s="39"/>
      <c r="B24" s="40"/>
      <c r="C24" s="40"/>
      <c r="D24" s="40"/>
      <c r="E24" s="96"/>
      <c r="F24" s="41"/>
      <c r="G24" s="41"/>
      <c r="H24" s="41"/>
      <c r="I24" s="41"/>
      <c r="J24" s="41"/>
      <c r="K24" s="41"/>
      <c r="L24" s="41"/>
      <c r="M24" s="97"/>
      <c r="N24" s="97"/>
      <c r="O24" s="41"/>
      <c r="P24" s="30"/>
    </row>
    <row r="25" spans="1:16" ht="12.6" hidden="1" customHeight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226" t="s">
        <v>31</v>
      </c>
      <c r="F25" s="141" t="str">
        <f>F6</f>
        <v>Страховые взносы                 ( руб.)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87</v>
      </c>
      <c r="M25" s="228" t="s">
        <v>14</v>
      </c>
      <c r="N25" s="233" t="s">
        <v>15</v>
      </c>
      <c r="O25" s="144" t="s">
        <v>16</v>
      </c>
      <c r="P25" s="141" t="s">
        <v>16</v>
      </c>
    </row>
    <row r="26" spans="1:16" ht="12.6" hidden="1" customHeight="1" x14ac:dyDescent="0.25">
      <c r="A26" s="157"/>
      <c r="B26" s="185"/>
      <c r="C26" s="185"/>
      <c r="D26" s="186"/>
      <c r="E26" s="227"/>
      <c r="F26" s="142"/>
      <c r="G26" s="182"/>
      <c r="H26" s="159"/>
      <c r="I26" s="159"/>
      <c r="J26" s="183"/>
      <c r="K26" s="159"/>
      <c r="L26" s="184"/>
      <c r="M26" s="229"/>
      <c r="N26" s="233"/>
      <c r="O26" s="144"/>
      <c r="P26" s="142"/>
    </row>
    <row r="27" spans="1:16" ht="30.6" hidden="1" customHeight="1" x14ac:dyDescent="0.25">
      <c r="A27" s="157"/>
      <c r="B27" s="185"/>
      <c r="C27" s="185"/>
      <c r="D27" s="186"/>
      <c r="E27" s="98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99">
        <v>0.2</v>
      </c>
      <c r="N27" s="233"/>
      <c r="O27" s="144"/>
      <c r="P27" s="142"/>
    </row>
    <row r="28" spans="1:16" ht="24.95" hidden="1" customHeight="1" x14ac:dyDescent="0.3">
      <c r="A28" s="157"/>
      <c r="B28" s="46">
        <v>1</v>
      </c>
      <c r="C28" s="46">
        <v>2</v>
      </c>
      <c r="D28" s="46">
        <v>3</v>
      </c>
      <c r="E28" s="100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101">
        <v>12</v>
      </c>
      <c r="N28" s="91">
        <v>13</v>
      </c>
      <c r="O28" s="46">
        <v>14</v>
      </c>
      <c r="P28" s="143"/>
    </row>
    <row r="29" spans="1:16" ht="15" x14ac:dyDescent="0.25">
      <c r="A29" s="26" t="s">
        <v>114</v>
      </c>
      <c r="B29" s="29">
        <f>'[3]3 категория!!!!!!!!!!!!!!!!'!I245</f>
        <v>24618</v>
      </c>
      <c r="C29" s="29">
        <v>2504</v>
      </c>
      <c r="D29" s="31">
        <f>B29/C29*0.2</f>
        <v>1.9662939297124602</v>
      </c>
      <c r="E29" s="90">
        <f>D29*$E$27*12</f>
        <v>371016.06900958472</v>
      </c>
      <c r="F29" s="31">
        <f>E29*$F$27</f>
        <v>112343.66569610225</v>
      </c>
      <c r="G29" s="31">
        <f>E29*$G$27</f>
        <v>8384.9631596166146</v>
      </c>
      <c r="H29" s="31">
        <f>E29*$H$27</f>
        <v>10017.433863258788</v>
      </c>
      <c r="I29" s="31">
        <f>E29*$I$27</f>
        <v>176232.63277955275</v>
      </c>
      <c r="J29" s="31">
        <f>SUM(E29:I29)</f>
        <v>677994.76450811513</v>
      </c>
      <c r="K29" s="31">
        <f>J29*$K$27</f>
        <v>2033.9842935243455</v>
      </c>
      <c r="L29" s="31">
        <f>SUM(J29:K29)</f>
        <v>680028.74880163942</v>
      </c>
      <c r="M29" s="29">
        <f>L29*$M$27</f>
        <v>136005.74976032789</v>
      </c>
      <c r="N29" s="29">
        <f>SUM(L29:M29)</f>
        <v>816034.49856196728</v>
      </c>
      <c r="O29" s="31">
        <f>N29/$E$4/12</f>
        <v>0.11271649333950585</v>
      </c>
      <c r="P29" s="52">
        <f>((O29*1.04)*1.055)*1.045</f>
        <v>0.12923780063425055</v>
      </c>
    </row>
    <row r="30" spans="1:16" ht="15" x14ac:dyDescent="0.25">
      <c r="A30" s="26" t="s">
        <v>118</v>
      </c>
      <c r="B30" s="48">
        <f>'[3]3 категория!!!!!!!!!!!!!!!!'!H245</f>
        <v>7973</v>
      </c>
      <c r="C30" s="29">
        <v>2504</v>
      </c>
      <c r="D30" s="31">
        <f>B30/C30*0.59*4</f>
        <v>7.5144888178913734</v>
      </c>
      <c r="E30" s="90">
        <f>D30*$E$27*12</f>
        <v>1417893.8660702875</v>
      </c>
      <c r="F30" s="31">
        <f>E30*$F$27</f>
        <v>429338.26264608308</v>
      </c>
      <c r="G30" s="31">
        <f>E30*$G$27</f>
        <v>32044.401373188495</v>
      </c>
      <c r="H30" s="31">
        <f>E30*$H$27</f>
        <v>38283.134383897763</v>
      </c>
      <c r="I30" s="31">
        <f>E30*$I$27</f>
        <v>673499.58638338652</v>
      </c>
      <c r="J30" s="31">
        <f>SUM(E30:I30)</f>
        <v>2591059.2508568433</v>
      </c>
      <c r="K30" s="31">
        <f>J30*$K$27</f>
        <v>7773.1777525705302</v>
      </c>
      <c r="L30" s="31">
        <f>SUM(J30:K30)</f>
        <v>2598832.428609414</v>
      </c>
      <c r="M30" s="29">
        <f>L30*$M$27</f>
        <v>519766.48572188284</v>
      </c>
      <c r="N30" s="29">
        <f>SUM(L30:M30)</f>
        <v>3118598.9143312969</v>
      </c>
      <c r="O30" s="31">
        <f>N30/$E$4/12</f>
        <v>0.43076307971693018</v>
      </c>
      <c r="P30" s="52">
        <v>1</v>
      </c>
    </row>
    <row r="31" spans="1:16" ht="15" x14ac:dyDescent="0.25">
      <c r="A31" s="33" t="s">
        <v>35</v>
      </c>
      <c r="B31" s="33"/>
      <c r="C31" s="33"/>
      <c r="D31" s="139">
        <f>SUM(D29:D30)</f>
        <v>9.4807827476038327</v>
      </c>
      <c r="E31" s="102"/>
      <c r="F31" s="33"/>
      <c r="G31" s="33"/>
      <c r="H31" s="33"/>
      <c r="I31" s="33"/>
      <c r="J31" s="33"/>
      <c r="K31" s="33"/>
      <c r="L31" s="33"/>
      <c r="M31" s="103"/>
      <c r="N31" s="103"/>
      <c r="O31" s="139">
        <f>SUM(O29:O30)</f>
        <v>0.54347957305643602</v>
      </c>
      <c r="P31" s="52">
        <f>P29+P30</f>
        <v>1.1292378006342505</v>
      </c>
    </row>
    <row r="32" spans="1:16" ht="15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54"/>
    </row>
    <row r="33" spans="1:18" ht="15" hidden="1" customHeight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226" t="s">
        <v>31</v>
      </c>
      <c r="F33" s="163" t="str">
        <f>F25</f>
        <v>Страховые взносы                 ( руб.)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88</v>
      </c>
      <c r="M33" s="228" t="s">
        <v>14</v>
      </c>
      <c r="N33" s="230" t="s">
        <v>15</v>
      </c>
      <c r="O33" s="141" t="s">
        <v>16</v>
      </c>
      <c r="P33" s="141" t="s">
        <v>16</v>
      </c>
    </row>
    <row r="34" spans="1:18" ht="15" hidden="1" customHeight="1" x14ac:dyDescent="0.25">
      <c r="A34" s="157"/>
      <c r="B34" s="159"/>
      <c r="C34" s="159"/>
      <c r="D34" s="159"/>
      <c r="E34" s="227"/>
      <c r="F34" s="164"/>
      <c r="G34" s="166"/>
      <c r="H34" s="177"/>
      <c r="I34" s="177"/>
      <c r="J34" s="159"/>
      <c r="K34" s="159"/>
      <c r="L34" s="168"/>
      <c r="M34" s="229"/>
      <c r="N34" s="231"/>
      <c r="O34" s="142"/>
      <c r="P34" s="142"/>
    </row>
    <row r="35" spans="1:18" ht="15" hidden="1" customHeight="1" x14ac:dyDescent="0.25">
      <c r="A35" s="157"/>
      <c r="B35" s="160"/>
      <c r="C35" s="160"/>
      <c r="D35" s="160"/>
      <c r="E35" s="84">
        <v>15458</v>
      </c>
      <c r="F35" s="19">
        <v>0.30280000000000001</v>
      </c>
      <c r="G35" s="50">
        <v>0.19400000000000001</v>
      </c>
      <c r="H35" s="104">
        <v>0.16</v>
      </c>
      <c r="I35" s="104">
        <v>0.47499999999999998</v>
      </c>
      <c r="J35" s="160"/>
      <c r="K35" s="22">
        <v>3.0000000000000001E-3</v>
      </c>
      <c r="L35" s="169"/>
      <c r="M35" s="99">
        <v>0.2</v>
      </c>
      <c r="N35" s="232"/>
      <c r="O35" s="143"/>
      <c r="P35" s="143"/>
      <c r="R35" s="4">
        <f>D37+D53+D64+D68</f>
        <v>57.245899999999999</v>
      </c>
    </row>
    <row r="36" spans="1:18" ht="15" hidden="1" customHeight="1" x14ac:dyDescent="0.3">
      <c r="A36" s="157"/>
      <c r="B36" s="24">
        <v>1</v>
      </c>
      <c r="C36" s="24">
        <v>2</v>
      </c>
      <c r="D36" s="24">
        <v>3</v>
      </c>
      <c r="E36" s="86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87">
        <v>12</v>
      </c>
      <c r="N36" s="87">
        <v>13</v>
      </c>
      <c r="O36" s="24">
        <v>14</v>
      </c>
      <c r="P36" s="122">
        <v>14</v>
      </c>
    </row>
    <row r="37" spans="1:18" ht="15" customHeight="1" x14ac:dyDescent="0.25">
      <c r="A37" s="51" t="s">
        <v>38</v>
      </c>
      <c r="B37" s="52" t="s">
        <v>18</v>
      </c>
      <c r="C37" s="52" t="s">
        <v>18</v>
      </c>
      <c r="D37" s="53">
        <f>('[3]3 категория!!!!!!!!!!!!!!!!'!G245*43%)-D53-D64-D68</f>
        <v>4.4339000000000031</v>
      </c>
      <c r="E37" s="105">
        <f>D37*E35*12</f>
        <v>822470.71440000064</v>
      </c>
      <c r="F37" s="52">
        <f>E37*$F$35</f>
        <v>249044.1323203202</v>
      </c>
      <c r="G37" s="52">
        <f>E37*$G$35</f>
        <v>159559.31859360012</v>
      </c>
      <c r="H37" s="52">
        <f>E37*$H$35</f>
        <v>131595.31430400012</v>
      </c>
      <c r="I37" s="52">
        <f>E37*$I$35</f>
        <v>390673.5893400003</v>
      </c>
      <c r="J37" s="52">
        <f>SUM(E37:I37)</f>
        <v>1753343.0689579216</v>
      </c>
      <c r="K37" s="52">
        <f>J37*$K$35</f>
        <v>5260.0292068737645</v>
      </c>
      <c r="L37" s="52">
        <f>SUM(J37:K37)</f>
        <v>1758603.0981647954</v>
      </c>
      <c r="M37" s="106">
        <f>L37*$M$35</f>
        <v>351720.61963295913</v>
      </c>
      <c r="N37" s="106">
        <f>SUM(L37:M37)</f>
        <v>2110323.7177977543</v>
      </c>
      <c r="O37" s="107">
        <f>N37/$E$4/12</f>
        <v>0.29149293283620753</v>
      </c>
      <c r="P37" s="52">
        <f>((O37*1.04)*1.055)*1.045</f>
        <v>0.33421821797374185</v>
      </c>
    </row>
    <row r="38" spans="1:18" ht="15" customHeight="1" x14ac:dyDescent="0.2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1"/>
    </row>
    <row r="39" spans="1:18" ht="15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54"/>
    </row>
    <row r="40" spans="1:18" ht="15" customHeight="1" x14ac:dyDescent="0.25">
      <c r="A40" s="55" t="s">
        <v>113</v>
      </c>
      <c r="B40" s="187" t="s">
        <v>42</v>
      </c>
      <c r="C40" s="188"/>
      <c r="D40" s="59">
        <v>17.707999999999998</v>
      </c>
      <c r="E40" s="108">
        <f>D40*E35*12</f>
        <v>3284763.1679999996</v>
      </c>
      <c r="F40" s="31">
        <f>E40*$F$35</f>
        <v>994626.28727039997</v>
      </c>
      <c r="G40" s="31">
        <f>E40*$G$35</f>
        <v>637244.05459199997</v>
      </c>
      <c r="H40" s="31">
        <f>E40*$H$35</f>
        <v>525562.10687999998</v>
      </c>
      <c r="I40" s="31">
        <f>E40*$I$35</f>
        <v>1560262.5047999998</v>
      </c>
      <c r="J40" s="31">
        <f>SUM(E40:I40)</f>
        <v>7002458.1215423997</v>
      </c>
      <c r="K40" s="31">
        <f>J40*$K$35</f>
        <v>21007.374364627201</v>
      </c>
      <c r="L40" s="31">
        <f>SUM(J40:K40)</f>
        <v>7023465.4959070273</v>
      </c>
      <c r="M40" s="29">
        <f>L40*$M$35</f>
        <v>1404693.0991814055</v>
      </c>
      <c r="N40" s="29">
        <f>SUM(L40:M40)</f>
        <v>8428158.5950884335</v>
      </c>
      <c r="O40" s="140">
        <f>N40/$E$4/12</f>
        <v>1.164157255387708</v>
      </c>
      <c r="P40" s="52">
        <v>0.89</v>
      </c>
    </row>
    <row r="41" spans="1:18" ht="15" customHeight="1" x14ac:dyDescent="0.25">
      <c r="A41" s="55" t="s">
        <v>43</v>
      </c>
      <c r="B41" s="187" t="s">
        <v>42</v>
      </c>
      <c r="C41" s="188"/>
      <c r="D41" s="59">
        <v>0.97499999999999998</v>
      </c>
      <c r="E41" s="108">
        <f>D41*E35*12</f>
        <v>180858.59999999998</v>
      </c>
      <c r="F41" s="56">
        <f>E41*$F$35</f>
        <v>54763.984079999995</v>
      </c>
      <c r="G41" s="56">
        <f>E41*$G$35</f>
        <v>35086.568399999996</v>
      </c>
      <c r="H41" s="56">
        <f>E41*$H$35</f>
        <v>28937.375999999997</v>
      </c>
      <c r="I41" s="56">
        <f>E41*$I$35</f>
        <v>85907.834999999992</v>
      </c>
      <c r="J41" s="56">
        <f>SUM(E41:I41)</f>
        <v>385554.36347999994</v>
      </c>
      <c r="K41" s="56">
        <f>J41*$K$35</f>
        <v>1156.6630904399999</v>
      </c>
      <c r="L41" s="56">
        <f>SUM(J41:K41)</f>
        <v>386711.02657043992</v>
      </c>
      <c r="M41" s="29">
        <f>L41*$M$35</f>
        <v>77342.205314087987</v>
      </c>
      <c r="N41" s="29">
        <f>SUM(L41:M41)</f>
        <v>464053.23188452789</v>
      </c>
      <c r="O41" s="109">
        <f>N41/$E$4/12</f>
        <v>6.4098335441778578E-2</v>
      </c>
      <c r="P41" s="52">
        <f>((O41*1.04)*1.055)*1.045</f>
        <v>7.3493484860821842E-2</v>
      </c>
    </row>
    <row r="42" spans="1:18" ht="15" customHeight="1" x14ac:dyDescent="0.25">
      <c r="A42" s="58" t="s">
        <v>44</v>
      </c>
      <c r="B42" s="187" t="s">
        <v>30</v>
      </c>
      <c r="C42" s="188"/>
      <c r="D42" s="59">
        <v>1.224</v>
      </c>
      <c r="E42" s="108">
        <f>D42*E35*12</f>
        <v>227047.10399999999</v>
      </c>
      <c r="F42" s="31">
        <f>E42*$F$35</f>
        <v>68749.863091199994</v>
      </c>
      <c r="G42" s="31">
        <f>E42*$G$35</f>
        <v>44047.138176</v>
      </c>
      <c r="H42" s="31">
        <f>E42*$H$35</f>
        <v>36327.536639999998</v>
      </c>
      <c r="I42" s="31">
        <f>E42*$I$35</f>
        <v>107847.37439999999</v>
      </c>
      <c r="J42" s="31">
        <f>SUM(E42:I42)</f>
        <v>484019.01630719996</v>
      </c>
      <c r="K42" s="31">
        <f>J42*$K$35</f>
        <v>1452.0570489216</v>
      </c>
      <c r="L42" s="31">
        <f>SUM(J42:K42)</f>
        <v>485471.07335612155</v>
      </c>
      <c r="M42" s="29">
        <f>L42*$M$35</f>
        <v>97094.214671224312</v>
      </c>
      <c r="N42" s="29">
        <f>SUM(L42:M42)</f>
        <v>582565.2880273459</v>
      </c>
      <c r="O42" s="138">
        <f>N42/$E$4/12</f>
        <v>8.0468064185371266E-2</v>
      </c>
      <c r="P42" s="52">
        <f>((O42*1.04)*1.055)*1.045</f>
        <v>9.2262590225277871E-2</v>
      </c>
    </row>
    <row r="43" spans="1:18" ht="26.25" customHeight="1" x14ac:dyDescent="0.2">
      <c r="A43" s="151" t="s">
        <v>45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3"/>
    </row>
    <row r="44" spans="1:18" ht="15" customHeight="1" x14ac:dyDescent="0.25">
      <c r="A44" s="58" t="s">
        <v>46</v>
      </c>
      <c r="B44" s="187" t="s">
        <v>30</v>
      </c>
      <c r="C44" s="188"/>
      <c r="D44" s="59">
        <v>0.16600000000000001</v>
      </c>
      <c r="E44" s="108">
        <f>D44*$E$35*12</f>
        <v>30792.336000000003</v>
      </c>
      <c r="F44" s="31">
        <f>E44*$F$35</f>
        <v>9323.919340800001</v>
      </c>
      <c r="G44" s="31">
        <f>E44*$G$35</f>
        <v>5973.7131840000011</v>
      </c>
      <c r="H44" s="31">
        <f>E44*$H$35</f>
        <v>4926.7737600000009</v>
      </c>
      <c r="I44" s="31">
        <f>E44*$I$35</f>
        <v>14626.359600000002</v>
      </c>
      <c r="J44" s="31">
        <f>SUM(E44:I44)</f>
        <v>65643.101884800009</v>
      </c>
      <c r="K44" s="31">
        <f>J44*$K$35</f>
        <v>196.92930565440003</v>
      </c>
      <c r="L44" s="31">
        <f>SUM(J44:K44)</f>
        <v>65840.031190454407</v>
      </c>
      <c r="M44" s="29">
        <f>L44*$M$35</f>
        <v>13168.006238090882</v>
      </c>
      <c r="N44" s="29">
        <f>SUM(L44:M44)</f>
        <v>79008.037428545285</v>
      </c>
      <c r="O44" s="37">
        <f>N44/$E$4/12</f>
        <v>1.0913152495728459E-2</v>
      </c>
      <c r="P44" s="52">
        <f>((O44*1.04)*1.055)*1.045</f>
        <v>1.251273690963736E-2</v>
      </c>
    </row>
    <row r="45" spans="1:18" ht="15" customHeight="1" x14ac:dyDescent="0.25">
      <c r="A45" s="58" t="s">
        <v>47</v>
      </c>
      <c r="B45" s="187" t="s">
        <v>30</v>
      </c>
      <c r="C45" s="188"/>
      <c r="D45" s="59">
        <v>0.20599999999999999</v>
      </c>
      <c r="E45" s="108">
        <f>D45*$E$35*12</f>
        <v>38212.175999999999</v>
      </c>
      <c r="F45" s="31">
        <f>E45*$F$35</f>
        <v>11570.646892799999</v>
      </c>
      <c r="G45" s="31">
        <f>E45*$G$35</f>
        <v>7413.1621439999999</v>
      </c>
      <c r="H45" s="31">
        <f>E45*$H$35</f>
        <v>6113.9481599999999</v>
      </c>
      <c r="I45" s="31">
        <f>E45*$I$35</f>
        <v>18150.783599999999</v>
      </c>
      <c r="J45" s="31">
        <f>SUM(E45:I45)</f>
        <v>81460.716796799999</v>
      </c>
      <c r="K45" s="31">
        <f>J45*$K$35</f>
        <v>244.3821503904</v>
      </c>
      <c r="L45" s="31">
        <f>SUM(J45:K45)</f>
        <v>81705.098947190403</v>
      </c>
      <c r="M45" s="29">
        <f>L45*$M$35</f>
        <v>16341.019789438082</v>
      </c>
      <c r="N45" s="29">
        <f>SUM(L45:M45)</f>
        <v>98046.118736628487</v>
      </c>
      <c r="O45" s="37">
        <f>N45/$E$4/12</f>
        <v>1.3542827795903991E-2</v>
      </c>
      <c r="P45" s="52">
        <f>((O45*1.04)*1.055)*1.045</f>
        <v>1.5527854237260819E-2</v>
      </c>
    </row>
    <row r="46" spans="1:18" ht="15" customHeight="1" x14ac:dyDescent="0.25">
      <c r="A46" s="58" t="s">
        <v>48</v>
      </c>
      <c r="B46" s="187" t="s">
        <v>30</v>
      </c>
      <c r="C46" s="188"/>
      <c r="D46" s="59">
        <v>1.1060000000000001</v>
      </c>
      <c r="E46" s="108">
        <f>D46*$E$35*12</f>
        <v>205158.57600000003</v>
      </c>
      <c r="F46" s="31">
        <f>E46*$F$35</f>
        <v>62122.016812800015</v>
      </c>
      <c r="G46" s="31">
        <f>E46*$G$35</f>
        <v>39800.763744000003</v>
      </c>
      <c r="H46" s="31">
        <f>E46*$H$35</f>
        <v>32825.372160000006</v>
      </c>
      <c r="I46" s="31">
        <f>E46*$I$35</f>
        <v>97450.323600000003</v>
      </c>
      <c r="J46" s="31">
        <f>SUM(E46:I46)</f>
        <v>437357.05231680005</v>
      </c>
      <c r="K46" s="31">
        <f>J46*$K$35</f>
        <v>1312.0711569504001</v>
      </c>
      <c r="L46" s="31">
        <f>SUM(J46:K46)</f>
        <v>438669.12347375043</v>
      </c>
      <c r="M46" s="29">
        <f>L46*$M$35</f>
        <v>87733.824694750088</v>
      </c>
      <c r="N46" s="29">
        <f>SUM(L46:M46)</f>
        <v>526402.94816850056</v>
      </c>
      <c r="O46" s="37">
        <f>N46/$E$4/12</f>
        <v>7.2710522049853468E-2</v>
      </c>
      <c r="P46" s="52">
        <f>((O46*1.04)*1.055)*1.045</f>
        <v>8.3367994108788687E-2</v>
      </c>
    </row>
    <row r="47" spans="1:18" ht="15" customHeight="1" x14ac:dyDescent="0.25">
      <c r="A47" s="58" t="s">
        <v>49</v>
      </c>
      <c r="B47" s="187" t="s">
        <v>30</v>
      </c>
      <c r="C47" s="188"/>
      <c r="D47" s="59">
        <v>0.436</v>
      </c>
      <c r="E47" s="108">
        <f>D47*$E$35*12</f>
        <v>80876.255999999994</v>
      </c>
      <c r="F47" s="31">
        <f>E47*$F$35</f>
        <v>24489.330316799998</v>
      </c>
      <c r="G47" s="31">
        <f>E47*$G$35</f>
        <v>15689.993664</v>
      </c>
      <c r="H47" s="31">
        <f>E47*$H$35</f>
        <v>12940.20096</v>
      </c>
      <c r="I47" s="31">
        <f>E47*$I$35</f>
        <v>38416.221599999997</v>
      </c>
      <c r="J47" s="31">
        <f>SUM(E47:I47)</f>
        <v>172412.00254079996</v>
      </c>
      <c r="K47" s="31">
        <f>J47*$K$35</f>
        <v>517.23600762239994</v>
      </c>
      <c r="L47" s="31">
        <f>SUM(J47:K47)</f>
        <v>172929.23854842238</v>
      </c>
      <c r="M47" s="29">
        <f>L47*$M$35</f>
        <v>34585.84770968448</v>
      </c>
      <c r="N47" s="29">
        <f>SUM(L47:M47)</f>
        <v>207515.08625810686</v>
      </c>
      <c r="O47" s="37">
        <f>N47/$E$4/12</f>
        <v>2.8663460771913295E-2</v>
      </c>
      <c r="P47" s="52">
        <f>((O47*1.04)*1.055)*1.045</f>
        <v>3.2864778871095714E-2</v>
      </c>
    </row>
    <row r="48" spans="1:18" ht="15" customHeight="1" x14ac:dyDescent="0.25">
      <c r="A48" s="58" t="s">
        <v>50</v>
      </c>
      <c r="B48" s="187" t="s">
        <v>30</v>
      </c>
      <c r="C48" s="188"/>
      <c r="D48" s="59">
        <v>1.897</v>
      </c>
      <c r="E48" s="108">
        <f>D48*$E$35*12</f>
        <v>351885.91200000001</v>
      </c>
      <c r="F48" s="31">
        <f>E48*$F$35</f>
        <v>106551.05415360001</v>
      </c>
      <c r="G48" s="31">
        <f>E48*$G$35</f>
        <v>68265.866928000003</v>
      </c>
      <c r="H48" s="31">
        <f>E48*$H$35</f>
        <v>56301.745920000001</v>
      </c>
      <c r="I48" s="31">
        <f>E48*$I$35</f>
        <v>167145.8082</v>
      </c>
      <c r="J48" s="31">
        <f>SUM(E48:I48)</f>
        <v>750150.38720160001</v>
      </c>
      <c r="K48" s="31">
        <f>J48*$K$35</f>
        <v>2250.4511616048003</v>
      </c>
      <c r="L48" s="31">
        <f>SUM(J48:K48)</f>
        <v>752400.83836320485</v>
      </c>
      <c r="M48" s="29">
        <f>L48*$M$35</f>
        <v>150480.16767264096</v>
      </c>
      <c r="N48" s="29">
        <f>SUM(L48:M48)</f>
        <v>902881.00603584584</v>
      </c>
      <c r="O48" s="37">
        <f>N48/$E$4/12</f>
        <v>0.12471235111082461</v>
      </c>
      <c r="P48" s="52">
        <f>((O48*1.04)*1.05)*1.0455</f>
        <v>0.14238234529031293</v>
      </c>
    </row>
    <row r="49" spans="1:16" ht="15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37"/>
    </row>
    <row r="50" spans="1:16" ht="14.1" customHeight="1" x14ac:dyDescent="0.25">
      <c r="A50" s="58" t="s">
        <v>52</v>
      </c>
      <c r="B50" s="187" t="s">
        <v>30</v>
      </c>
      <c r="C50" s="188"/>
      <c r="D50" s="59">
        <v>2.915</v>
      </c>
      <c r="E50" s="108">
        <f>D50*$E$35*12</f>
        <v>540720.84</v>
      </c>
      <c r="F50" s="31">
        <f>E50*$F$35</f>
        <v>163730.27035199999</v>
      </c>
      <c r="G50" s="31">
        <f>E50*$G$35</f>
        <v>104899.84295999999</v>
      </c>
      <c r="H50" s="31">
        <f>E50*$H$35</f>
        <v>86515.334399999992</v>
      </c>
      <c r="I50" s="31">
        <f>E50*$I$35</f>
        <v>256842.39899999998</v>
      </c>
      <c r="J50" s="31">
        <f>SUM(E50:I50)</f>
        <v>1152708.6867120001</v>
      </c>
      <c r="K50" s="31">
        <f>J50*$K$35</f>
        <v>3458.1260601360004</v>
      </c>
      <c r="L50" s="31">
        <f>SUM(J50:K50)</f>
        <v>1156166.8127721359</v>
      </c>
      <c r="M50" s="29">
        <f>L50*$M$35</f>
        <v>231233.36255442721</v>
      </c>
      <c r="N50" s="29">
        <f>SUM(L50:M50)</f>
        <v>1387400.1753265632</v>
      </c>
      <c r="O50" s="37">
        <f>N50/$E$4/12</f>
        <v>0.19163758750029189</v>
      </c>
      <c r="P50" s="52">
        <f>((O50*1.04)*1.055)*1.045</f>
        <v>0.21972667525055967</v>
      </c>
    </row>
    <row r="51" spans="1:16" ht="30" x14ac:dyDescent="0.25">
      <c r="A51" s="58" t="s">
        <v>53</v>
      </c>
      <c r="B51" s="187" t="s">
        <v>30</v>
      </c>
      <c r="C51" s="188"/>
      <c r="D51" s="59">
        <v>0.28999999999999998</v>
      </c>
      <c r="E51" s="108">
        <f>D51*$E$35*12</f>
        <v>53793.84</v>
      </c>
      <c r="F51" s="31">
        <f>E51*$F$35</f>
        <v>16288.774751999999</v>
      </c>
      <c r="G51" s="31">
        <f>E51*$G$35</f>
        <v>10436.00496</v>
      </c>
      <c r="H51" s="31">
        <f>E51*$H$35</f>
        <v>8607.0144</v>
      </c>
      <c r="I51" s="31">
        <f>E51*$I$35</f>
        <v>25552.073999999997</v>
      </c>
      <c r="J51" s="31">
        <f>SUM(E51:I51)</f>
        <v>114677.70811199999</v>
      </c>
      <c r="K51" s="31">
        <f>J51*$K$35</f>
        <v>344.03312433600001</v>
      </c>
      <c r="L51" s="31">
        <f>SUM(J51:K51)</f>
        <v>115021.74123633599</v>
      </c>
      <c r="M51" s="29">
        <f>L51*$M$35</f>
        <v>23004.3482472672</v>
      </c>
      <c r="N51" s="29">
        <f>SUM(L51:M51)</f>
        <v>138026.08948360319</v>
      </c>
      <c r="O51" s="37">
        <f>N51/$E$4/12</f>
        <v>1.9065145926272606E-2</v>
      </c>
      <c r="P51" s="52">
        <f>((O51*1.04)*1.055)*1.045</f>
        <v>2.1859600625270082E-2</v>
      </c>
    </row>
    <row r="52" spans="1:16" ht="14.1" customHeight="1" x14ac:dyDescent="0.25">
      <c r="A52" s="58" t="s">
        <v>54</v>
      </c>
      <c r="B52" s="187" t="s">
        <v>30</v>
      </c>
      <c r="C52" s="188"/>
      <c r="D52" s="59">
        <v>0.44400000000000001</v>
      </c>
      <c r="E52" s="108">
        <f>D52*$E$35*12</f>
        <v>82360.224000000002</v>
      </c>
      <c r="F52" s="31">
        <f>E52*$F$35</f>
        <v>24938.675827200001</v>
      </c>
      <c r="G52" s="31">
        <f>E52*$G$35</f>
        <v>15977.883456000001</v>
      </c>
      <c r="H52" s="31">
        <f>E52*$H$35</f>
        <v>13177.635840000001</v>
      </c>
      <c r="I52" s="31">
        <f>E52*$I$35</f>
        <v>39121.106399999997</v>
      </c>
      <c r="J52" s="31">
        <f>SUM(E52:I52)</f>
        <v>175575.52552319999</v>
      </c>
      <c r="K52" s="31">
        <f>J52*$K$35</f>
        <v>526.72657656959996</v>
      </c>
      <c r="L52" s="31">
        <f>SUM(J52:K52)</f>
        <v>176102.2520997696</v>
      </c>
      <c r="M52" s="29">
        <f>L52*$M$35</f>
        <v>35220.450419953922</v>
      </c>
      <c r="N52" s="29">
        <f>SUM(L52:M52)</f>
        <v>211322.70251972351</v>
      </c>
      <c r="O52" s="37">
        <f>N52/$E$4/12</f>
        <v>2.9189395831948402E-2</v>
      </c>
      <c r="P52" s="52">
        <f>((O52*1.04)*1.055)*1.045</f>
        <v>3.3467802336620403E-2</v>
      </c>
    </row>
    <row r="53" spans="1:16" s="11" customFormat="1" ht="15" x14ac:dyDescent="0.25">
      <c r="A53" s="60" t="s">
        <v>55</v>
      </c>
      <c r="B53" s="203"/>
      <c r="C53" s="219"/>
      <c r="D53" s="139">
        <f>D40+D41+D44+D45+D42+D46+D47+D48+D50+D51+D52</f>
        <v>27.366999999999997</v>
      </c>
      <c r="E53" s="110">
        <f t="shared" ref="E53:O53" si="3">E40+E41+E44+E45+E42+E46+E47+E48+E50+E51+E52</f>
        <v>5076469.0319999997</v>
      </c>
      <c r="F53" s="139">
        <f t="shared" si="3"/>
        <v>1537154.8228895999</v>
      </c>
      <c r="G53" s="139">
        <f t="shared" si="3"/>
        <v>984834.99220799992</v>
      </c>
      <c r="H53" s="139">
        <f t="shared" si="3"/>
        <v>812235.04512000002</v>
      </c>
      <c r="I53" s="139">
        <f t="shared" si="3"/>
        <v>2411322.7901999997</v>
      </c>
      <c r="J53" s="139">
        <f t="shared" si="3"/>
        <v>10822016.682417601</v>
      </c>
      <c r="K53" s="139">
        <f t="shared" si="3"/>
        <v>32466.050047252804</v>
      </c>
      <c r="L53" s="139">
        <f t="shared" si="3"/>
        <v>10854482.732464854</v>
      </c>
      <c r="M53" s="111">
        <f t="shared" si="3"/>
        <v>2170896.5464929705</v>
      </c>
      <c r="N53" s="111">
        <f t="shared" si="3"/>
        <v>13025379.278957827</v>
      </c>
      <c r="O53" s="139">
        <f t="shared" si="3"/>
        <v>1.7991580984975943</v>
      </c>
      <c r="P53" s="52">
        <f>P52+P51+P50+P48+P47+P46+P45+P44+P42+P41+P40</f>
        <v>1.6174658627156453</v>
      </c>
    </row>
    <row r="54" spans="1:16" ht="14.25" x14ac:dyDescent="0.2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3"/>
    </row>
    <row r="55" spans="1:16" ht="14.1" customHeight="1" x14ac:dyDescent="0.25">
      <c r="A55" s="58" t="s">
        <v>57</v>
      </c>
      <c r="B55" s="187" t="s">
        <v>58</v>
      </c>
      <c r="C55" s="188"/>
      <c r="D55" s="59">
        <v>1.736</v>
      </c>
      <c r="E55" s="105">
        <f>D55*$E$35*12</f>
        <v>322021.05599999998</v>
      </c>
      <c r="F55" s="52">
        <f>E55*$F$35</f>
        <v>97507.975756800006</v>
      </c>
      <c r="G55" s="52">
        <f>E55*$G$35</f>
        <v>62472.084863999997</v>
      </c>
      <c r="H55" s="52">
        <f>E55*$H$35</f>
        <v>51523.36896</v>
      </c>
      <c r="I55" s="52">
        <f>E55*$I$35</f>
        <v>152960.00159999999</v>
      </c>
      <c r="J55" s="52">
        <f>SUM(E55:I55)</f>
        <v>686484.48718079994</v>
      </c>
      <c r="K55" s="52">
        <f>J55*$K$35</f>
        <v>2059.4534615424</v>
      </c>
      <c r="L55" s="52">
        <f>SUM(J55:K55)</f>
        <v>688543.94064234232</v>
      </c>
      <c r="M55" s="106">
        <f>L55*$M$35</f>
        <v>137708.78812846847</v>
      </c>
      <c r="N55" s="106">
        <f>SUM(L55:M55)</f>
        <v>826252.72877081076</v>
      </c>
      <c r="O55" s="53">
        <f>N55/$E$4/12</f>
        <v>0.11412790802761807</v>
      </c>
      <c r="P55" s="52">
        <f>((O55*1.04)*1.055)*1.045</f>
        <v>0.13085609201885814</v>
      </c>
    </row>
    <row r="56" spans="1:16" ht="14.1" customHeight="1" x14ac:dyDescent="0.25">
      <c r="A56" s="63" t="s">
        <v>59</v>
      </c>
      <c r="B56" s="187" t="s">
        <v>60</v>
      </c>
      <c r="C56" s="188"/>
      <c r="D56" s="59">
        <v>0.14299999999999999</v>
      </c>
      <c r="E56" s="105">
        <f>D56*$E$35*12</f>
        <v>26525.927999999996</v>
      </c>
      <c r="F56" s="52">
        <f>E56*$F$35</f>
        <v>8032.0509983999991</v>
      </c>
      <c r="G56" s="52">
        <f>E56*$G$35</f>
        <v>5146.0300319999997</v>
      </c>
      <c r="H56" s="52">
        <f>E56*$H$35</f>
        <v>4244.1484799999998</v>
      </c>
      <c r="I56" s="52">
        <f>E56*$I$35</f>
        <v>12599.815799999998</v>
      </c>
      <c r="J56" s="52">
        <f>SUM(E56:I56)</f>
        <v>56547.97331039999</v>
      </c>
      <c r="K56" s="52">
        <f>J56*$K$35</f>
        <v>169.64391993119997</v>
      </c>
      <c r="L56" s="52">
        <f>SUM(J56:K56)</f>
        <v>56717.617230331191</v>
      </c>
      <c r="M56" s="106">
        <f>L56*$M$35</f>
        <v>11343.52344606624</v>
      </c>
      <c r="N56" s="106">
        <f>SUM(L56:M56)</f>
        <v>68061.140676397423</v>
      </c>
      <c r="O56" s="53">
        <f>N56/$E$4/12</f>
        <v>9.4010891981275244E-3</v>
      </c>
      <c r="P56" s="52">
        <f>((O56*1.04)*1.055)*1.045</f>
        <v>1.0779044446253867E-2</v>
      </c>
    </row>
    <row r="57" spans="1:16" ht="14.1" customHeight="1" x14ac:dyDescent="0.25">
      <c r="A57" s="58" t="s">
        <v>61</v>
      </c>
      <c r="B57" s="187" t="s">
        <v>60</v>
      </c>
      <c r="C57" s="188"/>
      <c r="D57" s="59">
        <v>0.80200000000000005</v>
      </c>
      <c r="E57" s="105">
        <f>D57*$E$35*12</f>
        <v>148767.79200000002</v>
      </c>
      <c r="F57" s="52">
        <f>E57*$F$35</f>
        <v>45046.88741760001</v>
      </c>
      <c r="G57" s="52">
        <f>E57*$G$35</f>
        <v>28860.951648000006</v>
      </c>
      <c r="H57" s="52">
        <f>E57*$H$35</f>
        <v>23802.846720000001</v>
      </c>
      <c r="I57" s="52">
        <f>E57*$I$35</f>
        <v>70664.70120000001</v>
      </c>
      <c r="J57" s="52">
        <f>SUM(E57:I57)</f>
        <v>317143.17898560007</v>
      </c>
      <c r="K57" s="52">
        <f>J57*$K$35</f>
        <v>951.42953695680023</v>
      </c>
      <c r="L57" s="52">
        <f>SUM(J57:K57)</f>
        <v>318094.6085225569</v>
      </c>
      <c r="M57" s="106">
        <f>L57*$M$35</f>
        <v>63618.921704511384</v>
      </c>
      <c r="N57" s="106">
        <f>SUM(L57:M57)</f>
        <v>381713.53022706829</v>
      </c>
      <c r="O57" s="53">
        <f>N57/$E$4/12</f>
        <v>5.2724989768519435E-2</v>
      </c>
      <c r="P57" s="52">
        <f>((O57*1.04)*1.055)*1.045</f>
        <v>6.0453102418850393E-2</v>
      </c>
    </row>
    <row r="58" spans="1:16" ht="14.1" customHeight="1" x14ac:dyDescent="0.25">
      <c r="A58" s="58" t="s">
        <v>62</v>
      </c>
      <c r="B58" s="187" t="s">
        <v>60</v>
      </c>
      <c r="C58" s="188"/>
      <c r="D58" s="59">
        <v>1.321</v>
      </c>
      <c r="E58" s="105">
        <f>D58*$E$35*12</f>
        <v>245040.21600000001</v>
      </c>
      <c r="F58" s="52">
        <f>E58*$F$35</f>
        <v>74198.177404800008</v>
      </c>
      <c r="G58" s="52">
        <f>E58*$G$35</f>
        <v>47537.801904000007</v>
      </c>
      <c r="H58" s="52">
        <f>E58*$H$35</f>
        <v>39206.434560000002</v>
      </c>
      <c r="I58" s="52">
        <f>E58*$I$35</f>
        <v>116394.1026</v>
      </c>
      <c r="J58" s="52">
        <f>SUM(E58:I58)</f>
        <v>522376.73246880004</v>
      </c>
      <c r="K58" s="52">
        <f>J58*$K$35</f>
        <v>1567.1301974064002</v>
      </c>
      <c r="L58" s="52">
        <f>SUM(J58:K58)</f>
        <v>523943.86266620643</v>
      </c>
      <c r="M58" s="106">
        <f>L58*$M$35</f>
        <v>104788.7725332413</v>
      </c>
      <c r="N58" s="106">
        <f>SUM(L58:M58)</f>
        <v>628732.63519944774</v>
      </c>
      <c r="O58" s="53">
        <f>N58/$E$4/12</f>
        <v>8.6845026788296961E-2</v>
      </c>
      <c r="P58" s="52">
        <f>((O58*1.04)*1.055)*1.045</f>
        <v>9.9574249744764781E-2</v>
      </c>
    </row>
    <row r="59" spans="1:16" ht="14.1" customHeight="1" x14ac:dyDescent="0.25">
      <c r="A59" s="64" t="s">
        <v>63</v>
      </c>
      <c r="B59" s="187" t="s">
        <v>30</v>
      </c>
      <c r="C59" s="188"/>
      <c r="D59" s="194">
        <v>19.684999999999999</v>
      </c>
      <c r="E59" s="237">
        <f>D59*$E$35*12</f>
        <v>3651488.76</v>
      </c>
      <c r="F59" s="145">
        <f>E59*$F$35</f>
        <v>1105670.7965279999</v>
      </c>
      <c r="G59" s="145">
        <f>E59*$G$35</f>
        <v>708388.81943999999</v>
      </c>
      <c r="H59" s="145">
        <f>E59*$H$35</f>
        <v>584238.20160000003</v>
      </c>
      <c r="I59" s="145">
        <f>E59*$I$35</f>
        <v>1734457.1609999998</v>
      </c>
      <c r="J59" s="145">
        <f>SUM(E59:I59)</f>
        <v>7784243.7385680005</v>
      </c>
      <c r="K59" s="145">
        <f>J59*$K$35</f>
        <v>23352.731215704003</v>
      </c>
      <c r="L59" s="145">
        <f>SUM(J59:K59)</f>
        <v>7807596.4697837047</v>
      </c>
      <c r="M59" s="234">
        <f>L59*$M$35</f>
        <v>1561519.293956741</v>
      </c>
      <c r="N59" s="234">
        <f>SUM(L59:M59)</f>
        <v>9369115.7637404464</v>
      </c>
      <c r="O59" s="208">
        <f>N59/$E$4/12</f>
        <v>1.2941289570988839</v>
      </c>
      <c r="P59" s="145">
        <f>(1.9676789808*1.055)*1.045</f>
        <v>2.1693168843574795</v>
      </c>
    </row>
    <row r="60" spans="1:16" ht="14.1" customHeight="1" x14ac:dyDescent="0.25">
      <c r="A60" s="64" t="s">
        <v>64</v>
      </c>
      <c r="B60" s="187" t="s">
        <v>30</v>
      </c>
      <c r="C60" s="188"/>
      <c r="D60" s="195"/>
      <c r="E60" s="238"/>
      <c r="F60" s="146"/>
      <c r="G60" s="146"/>
      <c r="H60" s="146"/>
      <c r="I60" s="146"/>
      <c r="J60" s="146"/>
      <c r="K60" s="146"/>
      <c r="L60" s="146"/>
      <c r="M60" s="235"/>
      <c r="N60" s="235"/>
      <c r="O60" s="209"/>
      <c r="P60" s="146"/>
    </row>
    <row r="61" spans="1:16" ht="14.1" customHeight="1" x14ac:dyDescent="0.25">
      <c r="A61" s="64" t="s">
        <v>65</v>
      </c>
      <c r="B61" s="187" t="s">
        <v>42</v>
      </c>
      <c r="C61" s="188"/>
      <c r="D61" s="195"/>
      <c r="E61" s="238"/>
      <c r="F61" s="146"/>
      <c r="G61" s="146"/>
      <c r="H61" s="146"/>
      <c r="I61" s="146"/>
      <c r="J61" s="146"/>
      <c r="K61" s="146"/>
      <c r="L61" s="146"/>
      <c r="M61" s="235"/>
      <c r="N61" s="235"/>
      <c r="O61" s="209"/>
      <c r="P61" s="146"/>
    </row>
    <row r="62" spans="1:16" ht="14.1" customHeight="1" x14ac:dyDescent="0.25">
      <c r="A62" s="64" t="s">
        <v>66</v>
      </c>
      <c r="B62" s="187" t="s">
        <v>30</v>
      </c>
      <c r="C62" s="188"/>
      <c r="D62" s="196"/>
      <c r="E62" s="239"/>
      <c r="F62" s="147"/>
      <c r="G62" s="147"/>
      <c r="H62" s="147"/>
      <c r="I62" s="147"/>
      <c r="J62" s="147"/>
      <c r="K62" s="147"/>
      <c r="L62" s="147"/>
      <c r="M62" s="236"/>
      <c r="N62" s="236"/>
      <c r="O62" s="210"/>
      <c r="P62" s="147"/>
    </row>
    <row r="63" spans="1:16" ht="14.1" customHeight="1" x14ac:dyDescent="0.25">
      <c r="A63" s="58" t="s">
        <v>67</v>
      </c>
      <c r="B63" s="187" t="s">
        <v>42</v>
      </c>
      <c r="C63" s="188"/>
      <c r="D63" s="59">
        <v>0.108</v>
      </c>
      <c r="E63" s="105">
        <f>D63*$E$35*12</f>
        <v>20033.567999999999</v>
      </c>
      <c r="F63" s="52">
        <f>E63*$F$35</f>
        <v>6066.1643904000002</v>
      </c>
      <c r="G63" s="52">
        <f>E63*$G$35</f>
        <v>3886.5121920000001</v>
      </c>
      <c r="H63" s="52">
        <f>E63*$H$35</f>
        <v>3205.3708799999999</v>
      </c>
      <c r="I63" s="52">
        <f>E63*$I$35</f>
        <v>9515.9447999999993</v>
      </c>
      <c r="J63" s="52">
        <f>SUM(E63:I63)</f>
        <v>42707.560262400002</v>
      </c>
      <c r="K63" s="52">
        <f>J63*$K$35</f>
        <v>128.12268078720001</v>
      </c>
      <c r="L63" s="52">
        <f>SUM(J63:K63)</f>
        <v>42835.682943187203</v>
      </c>
      <c r="M63" s="106">
        <f>L63*$M$35</f>
        <v>8567.1365886374406</v>
      </c>
      <c r="N63" s="106">
        <f>SUM(L63:M63)</f>
        <v>51402.819531824643</v>
      </c>
      <c r="O63" s="53">
        <f>N63/$E$4/12</f>
        <v>7.1001233104739372E-3</v>
      </c>
      <c r="P63" s="52">
        <f>((O63*1.04)*1.055)*1.045</f>
        <v>8.1408167845833431E-3</v>
      </c>
    </row>
    <row r="64" spans="1:16" s="11" customFormat="1" ht="15" x14ac:dyDescent="0.25">
      <c r="A64" s="61" t="s">
        <v>55</v>
      </c>
      <c r="B64" s="203"/>
      <c r="C64" s="219"/>
      <c r="D64" s="139">
        <f>SUM(D55:D63)</f>
        <v>23.794999999999998</v>
      </c>
      <c r="E64" s="110">
        <f t="shared" ref="E64:O64" si="4">SUM(E55:E63)</f>
        <v>4413877.32</v>
      </c>
      <c r="F64" s="139">
        <f t="shared" si="4"/>
        <v>1336522.052496</v>
      </c>
      <c r="G64" s="139">
        <f t="shared" si="4"/>
        <v>856292.20007999998</v>
      </c>
      <c r="H64" s="139">
        <f t="shared" si="4"/>
        <v>706220.37119999994</v>
      </c>
      <c r="I64" s="139">
        <f t="shared" si="4"/>
        <v>2096591.7269999997</v>
      </c>
      <c r="J64" s="139">
        <f t="shared" si="4"/>
        <v>9409503.6707760021</v>
      </c>
      <c r="K64" s="139">
        <f t="shared" si="4"/>
        <v>28228.511012328003</v>
      </c>
      <c r="L64" s="139">
        <f t="shared" si="4"/>
        <v>9437732.181788329</v>
      </c>
      <c r="M64" s="111">
        <f t="shared" si="4"/>
        <v>1887546.4363576658</v>
      </c>
      <c r="N64" s="111">
        <f t="shared" si="4"/>
        <v>11325278.618145995</v>
      </c>
      <c r="O64" s="139">
        <f t="shared" si="4"/>
        <v>1.5643280941919198</v>
      </c>
      <c r="P64" s="52">
        <f>((O64*1.04)*1.055)*1.045</f>
        <v>1.793617920270006</v>
      </c>
    </row>
    <row r="65" spans="1:16" ht="14.25" x14ac:dyDescent="0.2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</row>
    <row r="66" spans="1:16" ht="15" x14ac:dyDescent="0.25">
      <c r="A66" s="151" t="s">
        <v>69</v>
      </c>
      <c r="B66" s="152"/>
      <c r="C66" s="153"/>
      <c r="D66" s="59">
        <v>0.68</v>
      </c>
      <c r="E66" s="105">
        <f>D66*$E$35*12</f>
        <v>126137.28</v>
      </c>
      <c r="F66" s="52">
        <f>E66*$F$35</f>
        <v>38194.368384000001</v>
      </c>
      <c r="G66" s="52">
        <f>E66*$G$35</f>
        <v>24470.632320000001</v>
      </c>
      <c r="H66" s="52">
        <f>E66*$H$35</f>
        <v>20181.964800000002</v>
      </c>
      <c r="I66" s="52">
        <f>E66*$I$35</f>
        <v>59915.207999999999</v>
      </c>
      <c r="J66" s="52">
        <f>SUM(E66:I66)</f>
        <v>268899.45350399998</v>
      </c>
      <c r="K66" s="52">
        <f>J66*$K$35</f>
        <v>806.69836051199991</v>
      </c>
      <c r="L66" s="52">
        <f>SUM(J66:K66)</f>
        <v>269706.15186451195</v>
      </c>
      <c r="M66" s="106">
        <f>L66*$M$35</f>
        <v>53941.230372902392</v>
      </c>
      <c r="N66" s="106">
        <f>SUM(L66:M66)</f>
        <v>323647.38223741436</v>
      </c>
      <c r="O66" s="52">
        <f>N66/$E$4/12</f>
        <v>4.4704480102984036E-2</v>
      </c>
      <c r="P66" s="52">
        <f>((O66*1.04)*1.055)*1.045</f>
        <v>5.1256994569598813E-2</v>
      </c>
    </row>
    <row r="67" spans="1:16" ht="15" x14ac:dyDescent="0.25">
      <c r="A67" s="151" t="s">
        <v>70</v>
      </c>
      <c r="B67" s="152"/>
      <c r="C67" s="153"/>
      <c r="D67" s="59">
        <v>0.97</v>
      </c>
      <c r="E67" s="105">
        <f>D67*$E$35*12</f>
        <v>179931.12</v>
      </c>
      <c r="F67" s="52">
        <f>E67*$F$35</f>
        <v>54483.143135999999</v>
      </c>
      <c r="G67" s="52">
        <f>E67*$G$35</f>
        <v>34906.637280000003</v>
      </c>
      <c r="H67" s="52">
        <f>E67*$H$35</f>
        <v>28788.979200000002</v>
      </c>
      <c r="I67" s="52">
        <f>E67*$I$35</f>
        <v>85467.281999999992</v>
      </c>
      <c r="J67" s="52">
        <f>SUM(E67:I67)</f>
        <v>383577.161616</v>
      </c>
      <c r="K67" s="52">
        <f>J67*$K$35</f>
        <v>1150.731484848</v>
      </c>
      <c r="L67" s="52">
        <f>SUM(J67:K67)</f>
        <v>384727.89310084801</v>
      </c>
      <c r="M67" s="106">
        <f>L67*$M$35</f>
        <v>76945.578620169603</v>
      </c>
      <c r="N67" s="106">
        <f>SUM(L67:M67)</f>
        <v>461673.47172101762</v>
      </c>
      <c r="O67" s="52">
        <f>N67/$E$4/12</f>
        <v>6.3769626029256649E-2</v>
      </c>
      <c r="P67" s="52">
        <v>0</v>
      </c>
    </row>
    <row r="68" spans="1:16" ht="15" x14ac:dyDescent="0.25">
      <c r="A68" s="151" t="s">
        <v>55</v>
      </c>
      <c r="B68" s="152"/>
      <c r="C68" s="153"/>
      <c r="D68" s="139">
        <f>D67+D66</f>
        <v>1.65</v>
      </c>
      <c r="E68" s="110">
        <f t="shared" ref="E68:O68" si="5">E67+E66</f>
        <v>306068.40000000002</v>
      </c>
      <c r="F68" s="139">
        <f t="shared" si="5"/>
        <v>92677.51152</v>
      </c>
      <c r="G68" s="139">
        <f t="shared" si="5"/>
        <v>59377.2696</v>
      </c>
      <c r="H68" s="139">
        <f t="shared" si="5"/>
        <v>48970.944000000003</v>
      </c>
      <c r="I68" s="139">
        <f t="shared" si="5"/>
        <v>145382.49</v>
      </c>
      <c r="J68" s="139">
        <f t="shared" si="5"/>
        <v>652476.61511999997</v>
      </c>
      <c r="K68" s="139">
        <f t="shared" si="5"/>
        <v>1957.4298453599999</v>
      </c>
      <c r="L68" s="139">
        <f t="shared" si="5"/>
        <v>654434.04496535996</v>
      </c>
      <c r="M68" s="111">
        <f t="shared" si="5"/>
        <v>130886.80899307199</v>
      </c>
      <c r="N68" s="111">
        <f t="shared" si="5"/>
        <v>785320.85395843198</v>
      </c>
      <c r="O68" s="139">
        <f t="shared" si="5"/>
        <v>0.10847410613224068</v>
      </c>
      <c r="P68" s="52">
        <v>0.05</v>
      </c>
    </row>
    <row r="69" spans="1:16" ht="15" x14ac:dyDescent="0.25">
      <c r="A69" s="112"/>
      <c r="B69" s="113"/>
      <c r="C69" s="113"/>
      <c r="D69" s="113"/>
      <c r="E69" s="114"/>
      <c r="F69" s="113"/>
      <c r="G69" s="113"/>
      <c r="H69" s="113"/>
      <c r="I69" s="113"/>
      <c r="J69" s="113"/>
      <c r="K69" s="113"/>
      <c r="L69" s="113"/>
      <c r="M69" s="115"/>
      <c r="N69" s="115"/>
      <c r="O69" s="113"/>
      <c r="P69" s="52"/>
    </row>
    <row r="70" spans="1:16" ht="15" x14ac:dyDescent="0.25">
      <c r="A70" s="179" t="s">
        <v>89</v>
      </c>
      <c r="B70" s="180"/>
      <c r="C70" s="181"/>
      <c r="D70" s="33"/>
      <c r="E70" s="102"/>
      <c r="F70" s="33"/>
      <c r="G70" s="33"/>
      <c r="H70" s="33"/>
      <c r="I70" s="33"/>
      <c r="J70" s="33">
        <f>0.37*E4*12</f>
        <v>2678691.96</v>
      </c>
      <c r="K70" s="33">
        <f>J70*0.3%</f>
        <v>8036.0758800000003</v>
      </c>
      <c r="L70" s="33">
        <f>SUM(J70:K70)</f>
        <v>2686728.0358799999</v>
      </c>
      <c r="M70" s="103">
        <f>L70*0.2</f>
        <v>537345.60717600002</v>
      </c>
      <c r="N70" s="103">
        <f>SUM(L70:M70)</f>
        <v>3224073.6430559997</v>
      </c>
      <c r="O70" s="31">
        <f>N70/E4/12</f>
        <v>0.44533200000000001</v>
      </c>
      <c r="P70" s="52">
        <f>(0.47*1.055)*1.045</f>
        <v>0.51816324999999996</v>
      </c>
    </row>
    <row r="71" spans="1:16" ht="15" x14ac:dyDescent="0.25">
      <c r="A71" s="203"/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52"/>
    </row>
    <row r="72" spans="1:16" ht="15" x14ac:dyDescent="0.25">
      <c r="A72" s="179" t="s">
        <v>72</v>
      </c>
      <c r="B72" s="180"/>
      <c r="C72" s="181"/>
      <c r="D72" s="33"/>
      <c r="E72" s="102"/>
      <c r="F72" s="33"/>
      <c r="G72" s="33"/>
      <c r="H72" s="33"/>
      <c r="I72" s="33"/>
      <c r="J72" s="33">
        <f>1.49*E4*12</f>
        <v>10787164.92</v>
      </c>
      <c r="K72" s="33">
        <f>J72*0.3%</f>
        <v>32361.494760000001</v>
      </c>
      <c r="L72" s="33">
        <f>SUM(J72:K72)</f>
        <v>10819526.414759999</v>
      </c>
      <c r="M72" s="103">
        <f>L72*0.2</f>
        <v>2163905.2829519999</v>
      </c>
      <c r="N72" s="103">
        <f>SUM(L72:M72)</f>
        <v>12983431.697711999</v>
      </c>
      <c r="O72" s="31">
        <f>N72/E4/12</f>
        <v>1.7933639999999997</v>
      </c>
      <c r="P72" s="52">
        <f>((O72*1.04)*1.055)*1.045</f>
        <v>2.0562245349359993</v>
      </c>
    </row>
    <row r="73" spans="1:16" ht="15" x14ac:dyDescent="0.25">
      <c r="A73" s="203"/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52"/>
    </row>
    <row r="74" spans="1:16" ht="15" x14ac:dyDescent="0.25">
      <c r="A74" s="220" t="s">
        <v>73</v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52"/>
    </row>
    <row r="75" spans="1:16" ht="15" x14ac:dyDescent="0.25">
      <c r="A75" s="205" t="s">
        <v>75</v>
      </c>
      <c r="B75" s="206"/>
      <c r="C75" s="207"/>
      <c r="D75" s="66"/>
      <c r="E75" s="116"/>
      <c r="F75" s="66"/>
      <c r="G75" s="66"/>
      <c r="H75" s="66"/>
      <c r="I75" s="66"/>
      <c r="J75" s="117"/>
      <c r="K75" s="66"/>
      <c r="L75" s="66">
        <f>0.275*E4*12</f>
        <v>1990919.7000000002</v>
      </c>
      <c r="M75" s="118">
        <f>L75*0.2</f>
        <v>398183.94000000006</v>
      </c>
      <c r="N75" s="118">
        <f>L75+M75</f>
        <v>2389103.64</v>
      </c>
      <c r="O75" s="31">
        <f>N75/E4/12</f>
        <v>0.33</v>
      </c>
      <c r="P75" s="52">
        <v>0.71</v>
      </c>
    </row>
    <row r="76" spans="1:16" ht="15" x14ac:dyDescent="0.25">
      <c r="A76" s="201" t="s">
        <v>22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32">
        <f>SUM(O75:O75)</f>
        <v>0.33</v>
      </c>
      <c r="P76" s="31">
        <f>P75</f>
        <v>0.71</v>
      </c>
    </row>
    <row r="77" spans="1:16" ht="15" x14ac:dyDescent="0.25">
      <c r="A77" s="203"/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19"/>
      <c r="P77" s="34"/>
    </row>
    <row r="78" spans="1:16" s="9" customFormat="1" ht="26.25" customHeight="1" x14ac:dyDescent="0.25">
      <c r="A78" s="201" t="s">
        <v>124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O76+O72+O70+O37+O31+O21+O68+O64+O53+O22+O23</f>
        <v>14.38996209575223</v>
      </c>
      <c r="P78" s="31">
        <v>16.66</v>
      </c>
    </row>
    <row r="79" spans="1:16" ht="15" x14ac:dyDescent="0.25">
      <c r="A79" s="16"/>
      <c r="B79" s="16"/>
      <c r="C79" s="16"/>
      <c r="D79" s="16"/>
      <c r="E79" s="119"/>
      <c r="F79" s="16"/>
      <c r="G79" s="16"/>
      <c r="H79" s="16"/>
      <c r="I79" s="16"/>
      <c r="J79" s="16"/>
      <c r="K79" s="16"/>
      <c r="L79" s="16"/>
      <c r="M79" s="120"/>
      <c r="N79" s="120"/>
      <c r="O79" s="16"/>
      <c r="P79" s="16"/>
    </row>
    <row r="80" spans="1:16" ht="15" x14ac:dyDescent="0.25">
      <c r="A80" s="80" t="s">
        <v>94</v>
      </c>
      <c r="B80" s="80"/>
      <c r="C80" s="80"/>
      <c r="D80" s="80"/>
      <c r="E80" s="121"/>
      <c r="F80" s="14"/>
      <c r="G80" s="14"/>
      <c r="H80" s="14"/>
      <c r="I80" s="14"/>
      <c r="J80" s="14"/>
      <c r="K80" s="14"/>
      <c r="L80" s="80" t="s">
        <v>78</v>
      </c>
      <c r="M80" s="80"/>
      <c r="N80" s="80"/>
      <c r="O80" s="80"/>
      <c r="P80" s="81"/>
    </row>
    <row r="89" spans="4:4" s="1" customFormat="1" x14ac:dyDescent="0.2">
      <c r="D89" s="2">
        <f>D68+D64+D53+D37</f>
        <v>57.245899999999999</v>
      </c>
    </row>
  </sheetData>
  <mergeCells count="109">
    <mergeCell ref="A2:P2"/>
    <mergeCell ref="A3:P3"/>
    <mergeCell ref="A5:P5"/>
    <mergeCell ref="A6:A9"/>
    <mergeCell ref="B6:B8"/>
    <mergeCell ref="C6:C8"/>
    <mergeCell ref="D6:D8"/>
    <mergeCell ref="E6:E7"/>
    <mergeCell ref="F6:F7"/>
    <mergeCell ref="G6:G7"/>
    <mergeCell ref="N6:N8"/>
    <mergeCell ref="O6:O8"/>
    <mergeCell ref="A10:O10"/>
    <mergeCell ref="A18:O18"/>
    <mergeCell ref="D22:K22"/>
    <mergeCell ref="H6:H7"/>
    <mergeCell ref="I6:I7"/>
    <mergeCell ref="J6:J8"/>
    <mergeCell ref="K6:K7"/>
    <mergeCell ref="L6:L8"/>
    <mergeCell ref="M6:M7"/>
    <mergeCell ref="J25:J27"/>
    <mergeCell ref="K25:K26"/>
    <mergeCell ref="L25:L27"/>
    <mergeCell ref="M25:M26"/>
    <mergeCell ref="N25:N27"/>
    <mergeCell ref="O25:O27"/>
    <mergeCell ref="D23:K23"/>
    <mergeCell ref="B25:B27"/>
    <mergeCell ref="C25:C27"/>
    <mergeCell ref="D25:D27"/>
    <mergeCell ref="E25:E26"/>
    <mergeCell ref="F25:F26"/>
    <mergeCell ref="G25:G26"/>
    <mergeCell ref="H25:H26"/>
    <mergeCell ref="I25:I26"/>
    <mergeCell ref="A32:O32"/>
    <mergeCell ref="A33:A36"/>
    <mergeCell ref="B33:B35"/>
    <mergeCell ref="C33:C35"/>
    <mergeCell ref="D33:D35"/>
    <mergeCell ref="E33:E34"/>
    <mergeCell ref="F33:F34"/>
    <mergeCell ref="G33:G34"/>
    <mergeCell ref="H33:H34"/>
    <mergeCell ref="O33:O35"/>
    <mergeCell ref="P33:P35"/>
    <mergeCell ref="A38:P38"/>
    <mergeCell ref="A39:O39"/>
    <mergeCell ref="B40:C40"/>
    <mergeCell ref="B41:C41"/>
    <mergeCell ref="I33:I34"/>
    <mergeCell ref="J33:J35"/>
    <mergeCell ref="K33:K34"/>
    <mergeCell ref="L33:L35"/>
    <mergeCell ref="M33:M34"/>
    <mergeCell ref="N33:N35"/>
    <mergeCell ref="B48:C48"/>
    <mergeCell ref="A49:O49"/>
    <mergeCell ref="B50:C50"/>
    <mergeCell ref="B51:C51"/>
    <mergeCell ref="B52:C52"/>
    <mergeCell ref="B53:C53"/>
    <mergeCell ref="B42:C42"/>
    <mergeCell ref="A43:P43"/>
    <mergeCell ref="B44:C44"/>
    <mergeCell ref="B45:C45"/>
    <mergeCell ref="B46:C46"/>
    <mergeCell ref="B47:C47"/>
    <mergeCell ref="H59:H62"/>
    <mergeCell ref="I59:I62"/>
    <mergeCell ref="J59:J62"/>
    <mergeCell ref="K59:K62"/>
    <mergeCell ref="L59:L62"/>
    <mergeCell ref="M59:M62"/>
    <mergeCell ref="A54:P54"/>
    <mergeCell ref="B55:C55"/>
    <mergeCell ref="B56:C56"/>
    <mergeCell ref="B57:C57"/>
    <mergeCell ref="B58:C58"/>
    <mergeCell ref="B59:C59"/>
    <mergeCell ref="D59:D62"/>
    <mergeCell ref="E59:E62"/>
    <mergeCell ref="F59:F62"/>
    <mergeCell ref="G59:G62"/>
    <mergeCell ref="A76:N76"/>
    <mergeCell ref="A77:O77"/>
    <mergeCell ref="A78:N78"/>
    <mergeCell ref="P6:P9"/>
    <mergeCell ref="A25:A28"/>
    <mergeCell ref="P25:P28"/>
    <mergeCell ref="A70:C70"/>
    <mergeCell ref="A71:O71"/>
    <mergeCell ref="A72:C72"/>
    <mergeCell ref="A73:O73"/>
    <mergeCell ref="A74:O74"/>
    <mergeCell ref="A75:C75"/>
    <mergeCell ref="B63:C63"/>
    <mergeCell ref="B64:C64"/>
    <mergeCell ref="A65:P65"/>
    <mergeCell ref="A66:C66"/>
    <mergeCell ref="A67:C67"/>
    <mergeCell ref="A68:C68"/>
    <mergeCell ref="N59:N62"/>
    <mergeCell ref="O59:O62"/>
    <mergeCell ref="P59:P62"/>
    <mergeCell ref="B60:C60"/>
    <mergeCell ref="B61:C61"/>
    <mergeCell ref="B62:C62"/>
  </mergeCells>
  <pageMargins left="0.78740157480314965" right="0.39370078740157483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9"/>
  <sheetViews>
    <sheetView zoomScale="170" zoomScaleNormal="170" workbookViewId="0">
      <selection activeCell="R13" sqref="R13"/>
    </sheetView>
  </sheetViews>
  <sheetFormatPr defaultColWidth="9.140625" defaultRowHeight="12.75" x14ac:dyDescent="0.2"/>
  <cols>
    <col min="1" max="1" width="75.28515625" style="2" customWidth="1"/>
    <col min="2" max="2" width="6.7109375" style="2" hidden="1" customWidth="1"/>
    <col min="3" max="3" width="7" style="2" hidden="1" customWidth="1"/>
    <col min="4" max="4" width="5.85546875" style="2" hidden="1" customWidth="1"/>
    <col min="5" max="5" width="9.28515625" style="12" hidden="1" customWidth="1"/>
    <col min="6" max="6" width="9.28515625" style="2" hidden="1" customWidth="1"/>
    <col min="7" max="7" width="8.5703125" style="2" hidden="1" customWidth="1"/>
    <col min="8" max="8" width="9" style="2" hidden="1" customWidth="1"/>
    <col min="9" max="9" width="10.42578125" style="2" hidden="1" customWidth="1"/>
    <col min="10" max="10" width="10.140625" style="2" hidden="1" customWidth="1"/>
    <col min="11" max="11" width="9.140625" style="2" hidden="1" customWidth="1"/>
    <col min="12" max="12" width="10.42578125" style="2" hidden="1" customWidth="1"/>
    <col min="13" max="14" width="8.42578125" style="13" hidden="1" customWidth="1"/>
    <col min="15" max="15" width="15.28515625" style="2" hidden="1" customWidth="1"/>
    <col min="16" max="16" width="15.710937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4.25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5.75" hidden="1" customHeight="1" x14ac:dyDescent="0.2">
      <c r="A4" s="69" t="s">
        <v>0</v>
      </c>
      <c r="B4" s="15"/>
      <c r="C4" s="15"/>
      <c r="D4" s="15"/>
      <c r="E4" s="82">
        <v>603309</v>
      </c>
      <c r="F4" s="15" t="s">
        <v>1</v>
      </c>
      <c r="G4" s="15"/>
      <c r="H4" s="15"/>
      <c r="I4" s="15"/>
      <c r="J4" s="15"/>
      <c r="K4" s="15"/>
      <c r="L4" s="15"/>
      <c r="M4" s="83"/>
      <c r="N4" s="83"/>
      <c r="O4" s="15"/>
      <c r="P4" s="15"/>
    </row>
    <row r="5" spans="1:16" ht="14.25" x14ac:dyDescent="0.2">
      <c r="A5" s="155" t="s">
        <v>120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2.75" customHeight="1" x14ac:dyDescent="0.2">
      <c r="A6" s="157" t="s">
        <v>2</v>
      </c>
      <c r="B6" s="158" t="s">
        <v>3</v>
      </c>
      <c r="C6" s="158" t="s">
        <v>4</v>
      </c>
      <c r="D6" s="158" t="s">
        <v>5</v>
      </c>
      <c r="E6" s="226" t="s">
        <v>84</v>
      </c>
      <c r="F6" s="163" t="s">
        <v>85</v>
      </c>
      <c r="G6" s="165" t="s">
        <v>8</v>
      </c>
      <c r="H6" s="165" t="s">
        <v>9</v>
      </c>
      <c r="I6" s="165" t="s">
        <v>10</v>
      </c>
      <c r="J6" s="158" t="s">
        <v>11</v>
      </c>
      <c r="K6" s="158" t="s">
        <v>12</v>
      </c>
      <c r="L6" s="167" t="s">
        <v>86</v>
      </c>
      <c r="M6" s="228" t="s">
        <v>14</v>
      </c>
      <c r="N6" s="230" t="s">
        <v>15</v>
      </c>
      <c r="O6" s="141" t="s">
        <v>16</v>
      </c>
      <c r="P6" s="144" t="s">
        <v>133</v>
      </c>
    </row>
    <row r="7" spans="1:16" ht="81" customHeight="1" x14ac:dyDescent="0.2">
      <c r="A7" s="157"/>
      <c r="B7" s="159"/>
      <c r="C7" s="159"/>
      <c r="D7" s="159"/>
      <c r="E7" s="227"/>
      <c r="F7" s="164"/>
      <c r="G7" s="166"/>
      <c r="H7" s="177"/>
      <c r="I7" s="177"/>
      <c r="J7" s="159"/>
      <c r="K7" s="159"/>
      <c r="L7" s="168"/>
      <c r="M7" s="229"/>
      <c r="N7" s="231"/>
      <c r="O7" s="142"/>
      <c r="P7" s="144"/>
    </row>
    <row r="8" spans="1:16" ht="12.75" hidden="1" customHeight="1" x14ac:dyDescent="0.25">
      <c r="A8" s="157"/>
      <c r="B8" s="160"/>
      <c r="C8" s="160"/>
      <c r="D8" s="160"/>
      <c r="E8" s="84">
        <v>12792</v>
      </c>
      <c r="F8" s="19">
        <v>0.30280000000000001</v>
      </c>
      <c r="G8" s="50">
        <v>2.2599999999999999E-2</v>
      </c>
      <c r="H8" s="21">
        <v>2.7E-2</v>
      </c>
      <c r="I8" s="21">
        <v>0.47499999999999998</v>
      </c>
      <c r="J8" s="160"/>
      <c r="K8" s="22">
        <v>3.0000000000000001E-3</v>
      </c>
      <c r="L8" s="169"/>
      <c r="M8" s="85">
        <v>0.2</v>
      </c>
      <c r="N8" s="232"/>
      <c r="O8" s="143"/>
      <c r="P8" s="144"/>
    </row>
    <row r="9" spans="1:16" ht="12.75" hidden="1" customHeight="1" x14ac:dyDescent="0.2">
      <c r="A9" s="157"/>
      <c r="B9" s="24">
        <v>1</v>
      </c>
      <c r="C9" s="24">
        <v>2</v>
      </c>
      <c r="D9" s="24">
        <v>3</v>
      </c>
      <c r="E9" s="86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  <c r="K9" s="24">
        <v>10</v>
      </c>
      <c r="L9" s="24">
        <v>11</v>
      </c>
      <c r="M9" s="87">
        <v>12</v>
      </c>
      <c r="N9" s="87">
        <v>13</v>
      </c>
      <c r="O9" s="24">
        <v>14</v>
      </c>
      <c r="P9" s="24">
        <v>14</v>
      </c>
    </row>
    <row r="10" spans="1:16" ht="15" x14ac:dyDescent="0.25">
      <c r="A10" s="170" t="s">
        <v>17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71"/>
    </row>
    <row r="11" spans="1:16" ht="39" customHeight="1" x14ac:dyDescent="0.2">
      <c r="A11" s="26" t="s">
        <v>106</v>
      </c>
      <c r="B11" s="27" t="s">
        <v>18</v>
      </c>
      <c r="C11" s="27" t="s">
        <v>18</v>
      </c>
      <c r="D11" s="27">
        <f>SUM(D12:D14)</f>
        <v>50.710165131837861</v>
      </c>
      <c r="E11" s="88">
        <f>SUM(E12:E14)</f>
        <v>7784213.1883976385</v>
      </c>
      <c r="F11" s="27">
        <f t="shared" ref="F11:N11" si="0">SUM(F12:F14)</f>
        <v>2357059.7534468048</v>
      </c>
      <c r="G11" s="27">
        <f t="shared" si="0"/>
        <v>175923.21805778661</v>
      </c>
      <c r="H11" s="27">
        <f t="shared" si="0"/>
        <v>210173.75608673622</v>
      </c>
      <c r="I11" s="27">
        <f t="shared" si="0"/>
        <v>3697501.2644888777</v>
      </c>
      <c r="J11" s="27">
        <f t="shared" si="0"/>
        <v>14224871.180477845</v>
      </c>
      <c r="K11" s="27">
        <f t="shared" si="0"/>
        <v>42674.613541433537</v>
      </c>
      <c r="L11" s="27">
        <f t="shared" si="0"/>
        <v>14267545.794019276</v>
      </c>
      <c r="M11" s="89">
        <f t="shared" si="0"/>
        <v>2853509.1588038555</v>
      </c>
      <c r="N11" s="89">
        <f t="shared" si="0"/>
        <v>17121054.952823132</v>
      </c>
      <c r="O11" s="27">
        <f>SUM(O12:O14)</f>
        <v>2.3648819749115755</v>
      </c>
      <c r="P11" s="27">
        <f>(2.31*1.055)*1.045</f>
        <v>2.5467172499999995</v>
      </c>
    </row>
    <row r="12" spans="1:16" ht="15" customHeight="1" x14ac:dyDescent="0.25">
      <c r="A12" s="28" t="s">
        <v>19</v>
      </c>
      <c r="B12" s="29">
        <f>'[3]3 категория!!!!!!!!!!!!!!!!'!V245</f>
        <v>35402</v>
      </c>
      <c r="C12" s="29">
        <v>3630</v>
      </c>
      <c r="D12" s="30">
        <f>B12/C12</f>
        <v>9.7526170798898075</v>
      </c>
      <c r="E12" s="90">
        <f>D12*$E$8*12</f>
        <v>1497065.7322314051</v>
      </c>
      <c r="F12" s="31">
        <f>E12*$F$8</f>
        <v>453311.50371966948</v>
      </c>
      <c r="G12" s="31">
        <f>E12*$G$8</f>
        <v>33833.685548429756</v>
      </c>
      <c r="H12" s="31">
        <f>E12*$H$8</f>
        <v>40420.774770247939</v>
      </c>
      <c r="I12" s="31">
        <f>E12*$I$8</f>
        <v>711106.22280991741</v>
      </c>
      <c r="J12" s="31">
        <f>SUM(E12:I12)</f>
        <v>2735737.9190796698</v>
      </c>
      <c r="K12" s="31">
        <f>J12*$K$8</f>
        <v>8207.2137572390093</v>
      </c>
      <c r="L12" s="32">
        <f>SUM(J12:K12)</f>
        <v>2743945.1328369086</v>
      </c>
      <c r="M12" s="29">
        <f>L12*$M$8</f>
        <v>548789.02656738169</v>
      </c>
      <c r="N12" s="91">
        <f>SUM(L12:M12)</f>
        <v>3292734.1594042904</v>
      </c>
      <c r="O12" s="31">
        <f>N12/$E$4/12</f>
        <v>0.45481587923218592</v>
      </c>
      <c r="P12" s="52">
        <f>(0.47*1.055)*1.045</f>
        <v>0.51816324999999996</v>
      </c>
    </row>
    <row r="13" spans="1:16" ht="15" customHeight="1" x14ac:dyDescent="0.25">
      <c r="A13" s="28" t="s">
        <v>20</v>
      </c>
      <c r="B13" s="29">
        <v>124900</v>
      </c>
      <c r="C13" s="29">
        <v>3080</v>
      </c>
      <c r="D13" s="30">
        <f>B13/C13</f>
        <v>40.551948051948052</v>
      </c>
      <c r="E13" s="90">
        <f>D13*$E$8*12</f>
        <v>6224886.2337662335</v>
      </c>
      <c r="F13" s="31">
        <f>E13*$F$8</f>
        <v>1884895.5515844156</v>
      </c>
      <c r="G13" s="31">
        <f>E13*$G$8</f>
        <v>140682.42888311687</v>
      </c>
      <c r="H13" s="31">
        <f>E13*$H$8</f>
        <v>168071.9283116883</v>
      </c>
      <c r="I13" s="31">
        <f>E13*$I$8</f>
        <v>2956820.9610389606</v>
      </c>
      <c r="J13" s="31">
        <f>SUM(E13:I13)</f>
        <v>11375357.103584414</v>
      </c>
      <c r="K13" s="31">
        <f>J13*$K$8</f>
        <v>34126.071310753243</v>
      </c>
      <c r="L13" s="32">
        <f>SUM(J13:K13)</f>
        <v>11409483.174895167</v>
      </c>
      <c r="M13" s="29">
        <f>L13*$M$8</f>
        <v>2281896.6349790334</v>
      </c>
      <c r="N13" s="91">
        <f>SUM(L13:M13)</f>
        <v>13691379.809874201</v>
      </c>
      <c r="O13" s="31">
        <f>N13/$E$4/12</f>
        <v>1.8911508323090105</v>
      </c>
      <c r="P13" s="52">
        <f>((O13*1.04)*1.055)*1.045</f>
        <v>2.1683443744038713</v>
      </c>
    </row>
    <row r="14" spans="1:16" ht="15" customHeight="1" x14ac:dyDescent="0.25">
      <c r="A14" s="28" t="s">
        <v>21</v>
      </c>
      <c r="B14" s="29">
        <f>'[3]3 категория!!!!!!!!!!!!!!!!'!X245</f>
        <v>1014</v>
      </c>
      <c r="C14" s="29">
        <v>2500</v>
      </c>
      <c r="D14" s="30">
        <f>B14/C14</f>
        <v>0.40560000000000002</v>
      </c>
      <c r="E14" s="90">
        <f>D14*$E$8*12</f>
        <v>62261.222399999999</v>
      </c>
      <c r="F14" s="31">
        <f>E14*$F$8</f>
        <v>18852.698142720001</v>
      </c>
      <c r="G14" s="31">
        <f>E14*$G$8</f>
        <v>1407.1036262399998</v>
      </c>
      <c r="H14" s="31">
        <f>E14*$H$8</f>
        <v>1681.0530048000001</v>
      </c>
      <c r="I14" s="31">
        <f>E14*$I$8</f>
        <v>29574.080639999996</v>
      </c>
      <c r="J14" s="31">
        <f>SUM(E14:I14)</f>
        <v>113776.15781376002</v>
      </c>
      <c r="K14" s="31">
        <f>J14*$K$8</f>
        <v>341.32847344128004</v>
      </c>
      <c r="L14" s="32">
        <f>SUM(J14:K14)</f>
        <v>114117.48628720129</v>
      </c>
      <c r="M14" s="29">
        <f>L14*$M$8</f>
        <v>22823.49725744026</v>
      </c>
      <c r="N14" s="91">
        <f>SUM(L14:M14)</f>
        <v>136940.98354464155</v>
      </c>
      <c r="O14" s="31">
        <f>N14/$E$4/12</f>
        <v>1.8915263370379239E-2</v>
      </c>
      <c r="P14" s="52">
        <f>((O14*1.04)*1.055)*1.045</f>
        <v>2.1687749183629201E-2</v>
      </c>
    </row>
    <row r="15" spans="1:16" ht="15" customHeight="1" x14ac:dyDescent="0.25">
      <c r="A15" s="26" t="s">
        <v>98</v>
      </c>
      <c r="B15" s="29">
        <f>'[3]3 категория!!!!!!!!!!!!!!!!'!T245*55%</f>
        <v>121271.70000000001</v>
      </c>
      <c r="C15" s="29">
        <v>30000</v>
      </c>
      <c r="D15" s="31">
        <f>B15/C15</f>
        <v>4.0423900000000001</v>
      </c>
      <c r="E15" s="90">
        <f>$E$8*D15*12</f>
        <v>620523.03456000006</v>
      </c>
      <c r="F15" s="31">
        <f>E15*$F$8</f>
        <v>187894.37486476803</v>
      </c>
      <c r="G15" s="31">
        <f>E15*$G$8</f>
        <v>14023.820581056001</v>
      </c>
      <c r="H15" s="31">
        <f>E15*$H$8</f>
        <v>16754.121933120001</v>
      </c>
      <c r="I15" s="31">
        <f>E15*$I$8</f>
        <v>294748.44141600002</v>
      </c>
      <c r="J15" s="31">
        <f>E15+F15+G15+H15+I15</f>
        <v>1133943.7933549439</v>
      </c>
      <c r="K15" s="31">
        <f>J15*$K$8</f>
        <v>3401.8313800648316</v>
      </c>
      <c r="L15" s="32">
        <f>J15+K15</f>
        <v>1137345.6247350087</v>
      </c>
      <c r="M15" s="29">
        <f>L15*$M$8</f>
        <v>227469.12494700175</v>
      </c>
      <c r="N15" s="91">
        <f>L15+M15</f>
        <v>1364814.7496820104</v>
      </c>
      <c r="O15" s="31">
        <f>N15/$E$4/12</f>
        <v>0.18851792775095491</v>
      </c>
      <c r="P15" s="52">
        <f>((O15*1.04)*1.055)*1.045</f>
        <v>0.21614975449312335</v>
      </c>
    </row>
    <row r="16" spans="1:16" ht="49.5" customHeight="1" x14ac:dyDescent="0.25">
      <c r="A16" s="28" t="s">
        <v>109</v>
      </c>
      <c r="B16" s="29">
        <f>'[3]3 категория!!!!!!!!!!!!!!!!'!U245*76%</f>
        <v>97657.72</v>
      </c>
      <c r="C16" s="29">
        <v>10000</v>
      </c>
      <c r="D16" s="31">
        <f>B16/C16</f>
        <v>9.7657720000000001</v>
      </c>
      <c r="E16" s="90">
        <f>$E$8*D16*12</f>
        <v>1499085.0650880001</v>
      </c>
      <c r="F16" s="31">
        <f>E16*$F$8</f>
        <v>453922.95770864649</v>
      </c>
      <c r="G16" s="31">
        <f>E16*$G$8</f>
        <v>33879.322470988802</v>
      </c>
      <c r="H16" s="31">
        <f>E16*$H$8</f>
        <v>40475.296757376003</v>
      </c>
      <c r="I16" s="31">
        <f>E16*$I$8</f>
        <v>712065.40591680002</v>
      </c>
      <c r="J16" s="31">
        <f>E16+F16+G16+H16+I16</f>
        <v>2739428.0479418114</v>
      </c>
      <c r="K16" s="31">
        <f>J16*$K$8</f>
        <v>8218.2841438254345</v>
      </c>
      <c r="L16" s="32">
        <f>J16+K16</f>
        <v>2747646.3320856369</v>
      </c>
      <c r="M16" s="29">
        <f>L16*$M$8</f>
        <v>549529.26641712745</v>
      </c>
      <c r="N16" s="91">
        <f>L16+M16</f>
        <v>3297175.5985027645</v>
      </c>
      <c r="O16" s="31">
        <f>N16/$E$4/12</f>
        <v>0.45542936241389359</v>
      </c>
      <c r="P16" s="52">
        <f>((O16*1.04)*1.055)*1.045</f>
        <v>0.52218346578034758</v>
      </c>
    </row>
    <row r="17" spans="1:16" ht="15" customHeight="1" x14ac:dyDescent="0.2">
      <c r="A17" s="33" t="s">
        <v>22</v>
      </c>
      <c r="B17" s="32"/>
      <c r="C17" s="32"/>
      <c r="D17" s="32">
        <f>SUM(D12:D16)</f>
        <v>64.518327131837864</v>
      </c>
      <c r="E17" s="92">
        <f>SUM(E12:E16)</f>
        <v>9903821.2880456392</v>
      </c>
      <c r="F17" s="35">
        <f t="shared" ref="F17:N17" si="1">SUM(F12:F16)</f>
        <v>2998877.0860202196</v>
      </c>
      <c r="G17" s="35">
        <f t="shared" si="1"/>
        <v>223826.36110983143</v>
      </c>
      <c r="H17" s="35">
        <f t="shared" si="1"/>
        <v>267403.17477723223</v>
      </c>
      <c r="I17" s="35">
        <f t="shared" si="1"/>
        <v>4704315.1118216775</v>
      </c>
      <c r="J17" s="35">
        <f t="shared" si="1"/>
        <v>18098243.021774597</v>
      </c>
      <c r="K17" s="35">
        <f t="shared" si="1"/>
        <v>54294.729065323801</v>
      </c>
      <c r="L17" s="35">
        <f t="shared" si="1"/>
        <v>18152537.750839923</v>
      </c>
      <c r="M17" s="93">
        <f t="shared" si="1"/>
        <v>3630507.5501679848</v>
      </c>
      <c r="N17" s="93">
        <f t="shared" si="1"/>
        <v>21783045.301007904</v>
      </c>
      <c r="O17" s="32">
        <f>SUM(O11:O16)</f>
        <v>5.3737112399880003</v>
      </c>
      <c r="P17" s="27">
        <f>P11+P12+P13+P14+P15+P16</f>
        <v>5.9932458438609704</v>
      </c>
    </row>
    <row r="18" spans="1:16" ht="15" customHeight="1" x14ac:dyDescent="0.25">
      <c r="A18" s="172" t="s">
        <v>23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34"/>
    </row>
    <row r="19" spans="1:16" ht="15" customHeight="1" x14ac:dyDescent="0.25">
      <c r="A19" s="28" t="s">
        <v>24</v>
      </c>
      <c r="B19" s="29">
        <v>47436</v>
      </c>
      <c r="C19" s="29">
        <v>1066</v>
      </c>
      <c r="D19" s="32">
        <f>B19/C19</f>
        <v>44.49906191369606</v>
      </c>
      <c r="E19" s="90">
        <f>E8*D19*12</f>
        <v>6830784</v>
      </c>
      <c r="F19" s="31">
        <f>E19*F8</f>
        <v>2068361.3952000001</v>
      </c>
      <c r="G19" s="31">
        <f>E19*G8</f>
        <v>154375.71839999998</v>
      </c>
      <c r="H19" s="31">
        <f>E19*H8</f>
        <v>184431.16800000001</v>
      </c>
      <c r="I19" s="31">
        <f>E19*I8</f>
        <v>3244622.4</v>
      </c>
      <c r="J19" s="31">
        <f>E19+F19+G19+H19+I19</f>
        <v>12482574.681599999</v>
      </c>
      <c r="K19" s="31">
        <f>J19*K8</f>
        <v>37447.724044799994</v>
      </c>
      <c r="L19" s="31">
        <f>J19+K19</f>
        <v>12520022.405644799</v>
      </c>
      <c r="M19" s="29">
        <f>L19*M8</f>
        <v>2504004.4811289599</v>
      </c>
      <c r="N19" s="91">
        <f>L19+M19</f>
        <v>15024026.886773758</v>
      </c>
      <c r="O19" s="31">
        <f>N19/$E$4/12</f>
        <v>2.0752255321310966</v>
      </c>
      <c r="P19" s="52">
        <f>((O19*1.04)*1.055)*1.045</f>
        <v>2.3793996392776799</v>
      </c>
    </row>
    <row r="20" spans="1:16" ht="15" hidden="1" customHeight="1" x14ac:dyDescent="0.3">
      <c r="A20" s="33" t="s">
        <v>25</v>
      </c>
      <c r="B20" s="29">
        <f>'[3]3 категория!!!!!!!!!!!!!!!!'!O204</f>
        <v>125</v>
      </c>
      <c r="C20" s="29">
        <v>512</v>
      </c>
      <c r="D20" s="32">
        <f>B20/C20</f>
        <v>0.244140625</v>
      </c>
      <c r="E20" s="92">
        <f>D20*E8*12</f>
        <v>37476.5625</v>
      </c>
      <c r="F20" s="31">
        <f>E20*F8</f>
        <v>11347.903125000001</v>
      </c>
      <c r="G20" s="31">
        <f>E20*G8</f>
        <v>846.97031249999998</v>
      </c>
      <c r="H20" s="31">
        <f>E20*H8</f>
        <v>1011.8671875</v>
      </c>
      <c r="I20" s="31">
        <f>E20*I8</f>
        <v>17801.3671875</v>
      </c>
      <c r="J20" s="31">
        <f>E20+F20+G20+H20+I20</f>
        <v>68484.670312500006</v>
      </c>
      <c r="K20" s="31">
        <f>J20*K8</f>
        <v>205.45401093750002</v>
      </c>
      <c r="L20" s="31">
        <f>J20+K20</f>
        <v>68690.1243234375</v>
      </c>
      <c r="M20" s="29">
        <f>L20*M8</f>
        <v>13738.024864687501</v>
      </c>
      <c r="N20" s="91">
        <f>L20+M20</f>
        <v>82428.149188124997</v>
      </c>
      <c r="O20" s="31">
        <f>N20/E4/12</f>
        <v>1.1385562675749491E-2</v>
      </c>
      <c r="P20" s="31">
        <v>0</v>
      </c>
    </row>
    <row r="21" spans="1:16" ht="15" customHeight="1" x14ac:dyDescent="0.25">
      <c r="A21" s="33" t="s">
        <v>26</v>
      </c>
      <c r="B21" s="36"/>
      <c r="C21" s="36"/>
      <c r="D21" s="36"/>
      <c r="E21" s="92">
        <f>E20+E17+E19</f>
        <v>16772081.850545639</v>
      </c>
      <c r="F21" s="35">
        <f t="shared" ref="F21:N21" si="2">F20+F17+F19</f>
        <v>5078586.3843452204</v>
      </c>
      <c r="G21" s="35">
        <f t="shared" si="2"/>
        <v>379049.04982233141</v>
      </c>
      <c r="H21" s="35">
        <f t="shared" si="2"/>
        <v>452846.20996473223</v>
      </c>
      <c r="I21" s="35">
        <f t="shared" si="2"/>
        <v>7966738.8790091779</v>
      </c>
      <c r="J21" s="35">
        <f t="shared" si="2"/>
        <v>30649302.373687096</v>
      </c>
      <c r="K21" s="35">
        <f t="shared" si="2"/>
        <v>91947.907121061289</v>
      </c>
      <c r="L21" s="35">
        <f t="shared" si="2"/>
        <v>30741250.280808158</v>
      </c>
      <c r="M21" s="93">
        <f t="shared" si="2"/>
        <v>6148250.0561616328</v>
      </c>
      <c r="N21" s="93">
        <f t="shared" si="2"/>
        <v>36889500.336969785</v>
      </c>
      <c r="O21" s="35">
        <f>O20+O17+O19</f>
        <v>7.4603223347948457</v>
      </c>
      <c r="P21" s="52">
        <f>8.02*1.045</f>
        <v>8.3808999999999987</v>
      </c>
    </row>
    <row r="22" spans="1:16" ht="15" customHeight="1" x14ac:dyDescent="0.25">
      <c r="A22" s="33" t="s">
        <v>27</v>
      </c>
      <c r="B22" s="37" t="s">
        <v>30</v>
      </c>
      <c r="C22" s="38">
        <f>'[3]3 категория!!!!!!!!!!!!!!!!'!Z245</f>
        <v>114105.92</v>
      </c>
      <c r="D22" s="174"/>
      <c r="E22" s="175"/>
      <c r="F22" s="175"/>
      <c r="G22" s="175"/>
      <c r="H22" s="175"/>
      <c r="I22" s="175"/>
      <c r="J22" s="175"/>
      <c r="K22" s="176"/>
      <c r="L22" s="94">
        <f>'[3]3 категория!!!!!!!!!!!!!!!!'!AA245</f>
        <v>57052.959999999999</v>
      </c>
      <c r="M22" s="95">
        <f>L22*0.2</f>
        <v>11410.592000000001</v>
      </c>
      <c r="N22" s="95">
        <f>SUM(L22:M22)</f>
        <v>68463.551999999996</v>
      </c>
      <c r="O22" s="75">
        <f>N22/E4/12</f>
        <v>9.456673114440527E-3</v>
      </c>
      <c r="P22" s="52">
        <f>((O22*1.04)*1.055)*1.045</f>
        <v>1.0842775519516531E-2</v>
      </c>
    </row>
    <row r="23" spans="1:16" ht="15" customHeight="1" x14ac:dyDescent="0.25">
      <c r="A23" s="33" t="s">
        <v>29</v>
      </c>
      <c r="B23" s="37" t="s">
        <v>30</v>
      </c>
      <c r="C23" s="38">
        <f>'[3]3 категория!!!!!!!!!!!!!!!!'!Z245</f>
        <v>114105.92</v>
      </c>
      <c r="D23" s="174"/>
      <c r="E23" s="175"/>
      <c r="F23" s="175"/>
      <c r="G23" s="175"/>
      <c r="H23" s="175"/>
      <c r="I23" s="175"/>
      <c r="J23" s="175"/>
      <c r="K23" s="176"/>
      <c r="L23" s="94">
        <f>'[3]3 категория!!!!!!!!!!!!!!!!'!AB245</f>
        <v>268800</v>
      </c>
      <c r="M23" s="95">
        <f>L23*0.2</f>
        <v>53760</v>
      </c>
      <c r="N23" s="95">
        <f>SUM(L23:M23)</f>
        <v>322560</v>
      </c>
      <c r="O23" s="75">
        <f>N23/E4/12</f>
        <v>4.455428312854607E-2</v>
      </c>
      <c r="P23" s="52">
        <f>((O23*1.04)*1.055)*1.045</f>
        <v>5.108478262382958E-2</v>
      </c>
    </row>
    <row r="24" spans="1:16" ht="15" customHeight="1" x14ac:dyDescent="0.3">
      <c r="A24" s="39"/>
      <c r="B24" s="40"/>
      <c r="C24" s="40"/>
      <c r="D24" s="40"/>
      <c r="E24" s="96"/>
      <c r="F24" s="41"/>
      <c r="G24" s="41"/>
      <c r="H24" s="41"/>
      <c r="I24" s="41"/>
      <c r="J24" s="41"/>
      <c r="K24" s="41"/>
      <c r="L24" s="41"/>
      <c r="M24" s="97"/>
      <c r="N24" s="97"/>
      <c r="O24" s="41"/>
      <c r="P24" s="30"/>
    </row>
    <row r="25" spans="1:16" ht="15" hidden="1" customHeight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226" t="s">
        <v>31</v>
      </c>
      <c r="F25" s="141" t="str">
        <f>F6</f>
        <v>Страховые взносы                 ( руб.)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87</v>
      </c>
      <c r="M25" s="228" t="s">
        <v>14</v>
      </c>
      <c r="N25" s="233" t="s">
        <v>15</v>
      </c>
      <c r="O25" s="144" t="s">
        <v>16</v>
      </c>
      <c r="P25" s="144" t="s">
        <v>16</v>
      </c>
    </row>
    <row r="26" spans="1:16" ht="15" hidden="1" customHeight="1" x14ac:dyDescent="0.25">
      <c r="A26" s="157"/>
      <c r="B26" s="185"/>
      <c r="C26" s="185"/>
      <c r="D26" s="186"/>
      <c r="E26" s="227"/>
      <c r="F26" s="142"/>
      <c r="G26" s="182"/>
      <c r="H26" s="159"/>
      <c r="I26" s="159"/>
      <c r="J26" s="183"/>
      <c r="K26" s="159"/>
      <c r="L26" s="184"/>
      <c r="M26" s="229"/>
      <c r="N26" s="233"/>
      <c r="O26" s="144"/>
      <c r="P26" s="144"/>
    </row>
    <row r="27" spans="1:16" ht="15" hidden="1" customHeight="1" x14ac:dyDescent="0.25">
      <c r="A27" s="157"/>
      <c r="B27" s="185"/>
      <c r="C27" s="185"/>
      <c r="D27" s="186"/>
      <c r="E27" s="98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99">
        <v>0.2</v>
      </c>
      <c r="N27" s="233"/>
      <c r="O27" s="144"/>
      <c r="P27" s="144"/>
    </row>
    <row r="28" spans="1:16" ht="15" hidden="1" customHeight="1" x14ac:dyDescent="0.3">
      <c r="A28" s="157"/>
      <c r="B28" s="46">
        <v>1</v>
      </c>
      <c r="C28" s="46">
        <v>2</v>
      </c>
      <c r="D28" s="46">
        <v>3</v>
      </c>
      <c r="E28" s="100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101">
        <v>12</v>
      </c>
      <c r="N28" s="91">
        <v>13</v>
      </c>
      <c r="O28" s="46">
        <v>14</v>
      </c>
      <c r="P28" s="48">
        <v>14</v>
      </c>
    </row>
    <row r="29" spans="1:16" ht="15" customHeight="1" x14ac:dyDescent="0.25">
      <c r="A29" s="26" t="s">
        <v>114</v>
      </c>
      <c r="B29" s="29">
        <f>'[3]3 категория!!!!!!!!!!!!!!!!'!I245</f>
        <v>24618</v>
      </c>
      <c r="C29" s="29">
        <v>2504</v>
      </c>
      <c r="D29" s="31">
        <f>B29/C29*0.2</f>
        <v>1.9662939297124602</v>
      </c>
      <c r="E29" s="90">
        <f>D29*$E$27*12</f>
        <v>371016.06900958472</v>
      </c>
      <c r="F29" s="31">
        <f>E29*$F$27</f>
        <v>112343.66569610225</v>
      </c>
      <c r="G29" s="31">
        <f>E29*$G$27</f>
        <v>8384.9631596166146</v>
      </c>
      <c r="H29" s="31">
        <f>E29*$H$27</f>
        <v>10017.433863258788</v>
      </c>
      <c r="I29" s="31">
        <f>E29*$I$27</f>
        <v>176232.63277955275</v>
      </c>
      <c r="J29" s="31">
        <f>SUM(E29:I29)</f>
        <v>677994.76450811513</v>
      </c>
      <c r="K29" s="31">
        <f>J29*$K$27</f>
        <v>2033.9842935243455</v>
      </c>
      <c r="L29" s="31">
        <f>SUM(J29:K29)</f>
        <v>680028.74880163942</v>
      </c>
      <c r="M29" s="29">
        <f>L29*$M$27</f>
        <v>136005.74976032789</v>
      </c>
      <c r="N29" s="29">
        <f>SUM(L29:M29)</f>
        <v>816034.49856196728</v>
      </c>
      <c r="O29" s="31">
        <f>N29/$E$4/12</f>
        <v>0.11271649333950585</v>
      </c>
      <c r="P29" s="52">
        <f>((O29*1.04)*1.055)*1.045</f>
        <v>0.12923780063425055</v>
      </c>
    </row>
    <row r="30" spans="1:16" ht="15" customHeight="1" x14ac:dyDescent="0.25">
      <c r="A30" s="26" t="s">
        <v>118</v>
      </c>
      <c r="B30" s="48">
        <f>'[3]3 категория!!!!!!!!!!!!!!!!'!H245</f>
        <v>7973</v>
      </c>
      <c r="C30" s="29">
        <v>2504</v>
      </c>
      <c r="D30" s="31">
        <f>B30/C30*0.59*4</f>
        <v>7.5144888178913734</v>
      </c>
      <c r="E30" s="90">
        <f>D30*$E$27*12</f>
        <v>1417893.8660702875</v>
      </c>
      <c r="F30" s="31">
        <f>E30*$F$27</f>
        <v>429338.26264608308</v>
      </c>
      <c r="G30" s="31">
        <f>E30*$G$27</f>
        <v>32044.401373188495</v>
      </c>
      <c r="H30" s="31">
        <f>E30*$H$27</f>
        <v>38283.134383897763</v>
      </c>
      <c r="I30" s="31">
        <f>E30*$I$27</f>
        <v>673499.58638338652</v>
      </c>
      <c r="J30" s="31">
        <f>SUM(E30:I30)</f>
        <v>2591059.2508568433</v>
      </c>
      <c r="K30" s="31">
        <f>J30*$K$27</f>
        <v>7773.1777525705302</v>
      </c>
      <c r="L30" s="31">
        <f>SUM(J30:K30)</f>
        <v>2598832.428609414</v>
      </c>
      <c r="M30" s="29">
        <f>L30*$M$27</f>
        <v>519766.48572188284</v>
      </c>
      <c r="N30" s="29">
        <f>SUM(L30:M30)</f>
        <v>3118598.9143312969</v>
      </c>
      <c r="O30" s="31">
        <f>N30/$E$4/12</f>
        <v>0.43076307971693018</v>
      </c>
      <c r="P30" s="52">
        <f>((O30*1.04)*1.055)*1.045</f>
        <v>0.49390174736335951</v>
      </c>
    </row>
    <row r="31" spans="1:16" ht="15" customHeight="1" x14ac:dyDescent="0.25">
      <c r="A31" s="33" t="s">
        <v>35</v>
      </c>
      <c r="B31" s="33"/>
      <c r="C31" s="33"/>
      <c r="D31" s="134">
        <f>SUM(D29:D30)</f>
        <v>9.4807827476038327</v>
      </c>
      <c r="E31" s="102"/>
      <c r="F31" s="33"/>
      <c r="G31" s="33"/>
      <c r="H31" s="33"/>
      <c r="I31" s="33"/>
      <c r="J31" s="33"/>
      <c r="K31" s="33"/>
      <c r="L31" s="33"/>
      <c r="M31" s="103"/>
      <c r="N31" s="103"/>
      <c r="O31" s="134">
        <f>SUM(O29:O30)</f>
        <v>0.54347957305643602</v>
      </c>
      <c r="P31" s="52">
        <f>0.59*1.045</f>
        <v>0.61654999999999993</v>
      </c>
    </row>
    <row r="32" spans="1:16" ht="15" customHeight="1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54"/>
    </row>
    <row r="33" spans="1:18" ht="15" hidden="1" customHeight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226" t="s">
        <v>31</v>
      </c>
      <c r="F33" s="163" t="str">
        <f>F25</f>
        <v>Страховые взносы                 ( руб.)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88</v>
      </c>
      <c r="M33" s="228" t="s">
        <v>14</v>
      </c>
      <c r="N33" s="230" t="s">
        <v>15</v>
      </c>
      <c r="O33" s="141" t="s">
        <v>16</v>
      </c>
      <c r="P33" s="141" t="s">
        <v>16</v>
      </c>
    </row>
    <row r="34" spans="1:18" ht="15" hidden="1" customHeight="1" x14ac:dyDescent="0.25">
      <c r="A34" s="157"/>
      <c r="B34" s="159"/>
      <c r="C34" s="159"/>
      <c r="D34" s="159"/>
      <c r="E34" s="227"/>
      <c r="F34" s="164"/>
      <c r="G34" s="166"/>
      <c r="H34" s="177"/>
      <c r="I34" s="177"/>
      <c r="J34" s="159"/>
      <c r="K34" s="159"/>
      <c r="L34" s="168"/>
      <c r="M34" s="229"/>
      <c r="N34" s="231"/>
      <c r="O34" s="142"/>
      <c r="P34" s="142"/>
    </row>
    <row r="35" spans="1:18" ht="15" hidden="1" customHeight="1" x14ac:dyDescent="0.25">
      <c r="A35" s="157"/>
      <c r="B35" s="160"/>
      <c r="C35" s="160"/>
      <c r="D35" s="160"/>
      <c r="E35" s="84">
        <v>15458</v>
      </c>
      <c r="F35" s="19">
        <v>0.30280000000000001</v>
      </c>
      <c r="G35" s="50">
        <v>0.19400000000000001</v>
      </c>
      <c r="H35" s="104">
        <v>0.16</v>
      </c>
      <c r="I35" s="104">
        <v>0.47499999999999998</v>
      </c>
      <c r="J35" s="160"/>
      <c r="K35" s="22">
        <v>3.0000000000000001E-3</v>
      </c>
      <c r="L35" s="169"/>
      <c r="M35" s="99">
        <v>0.2</v>
      </c>
      <c r="N35" s="232"/>
      <c r="O35" s="143"/>
      <c r="P35" s="143"/>
      <c r="R35" s="4">
        <f>D37+D53+D64+D68</f>
        <v>57.245899999999999</v>
      </c>
    </row>
    <row r="36" spans="1:18" ht="15" hidden="1" customHeight="1" x14ac:dyDescent="0.3">
      <c r="A36" s="157"/>
      <c r="B36" s="24">
        <v>1</v>
      </c>
      <c r="C36" s="24">
        <v>2</v>
      </c>
      <c r="D36" s="24">
        <v>3</v>
      </c>
      <c r="E36" s="86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87">
        <v>12</v>
      </c>
      <c r="N36" s="87">
        <v>13</v>
      </c>
      <c r="O36" s="24">
        <v>14</v>
      </c>
      <c r="P36" s="122">
        <v>14</v>
      </c>
    </row>
    <row r="37" spans="1:18" ht="15" customHeight="1" x14ac:dyDescent="0.25">
      <c r="A37" s="51" t="s">
        <v>38</v>
      </c>
      <c r="B37" s="52" t="s">
        <v>18</v>
      </c>
      <c r="C37" s="52" t="s">
        <v>18</v>
      </c>
      <c r="D37" s="53">
        <f>('[3]3 категория!!!!!!!!!!!!!!!!'!G245*43%)-D53-D64-D68</f>
        <v>4.4339000000000031</v>
      </c>
      <c r="E37" s="105">
        <f>D37*E35*12</f>
        <v>822470.71440000064</v>
      </c>
      <c r="F37" s="52">
        <f>E37*$F$35</f>
        <v>249044.1323203202</v>
      </c>
      <c r="G37" s="52">
        <f>E37*$G$35</f>
        <v>159559.31859360012</v>
      </c>
      <c r="H37" s="52">
        <f>E37*$H$35</f>
        <v>131595.31430400012</v>
      </c>
      <c r="I37" s="52">
        <f>E37*$I$35</f>
        <v>390673.5893400003</v>
      </c>
      <c r="J37" s="52">
        <f>SUM(E37:I37)</f>
        <v>1753343.0689579216</v>
      </c>
      <c r="K37" s="52">
        <f>J37*$K$35</f>
        <v>5260.0292068737645</v>
      </c>
      <c r="L37" s="52">
        <f>SUM(J37:K37)</f>
        <v>1758603.0981647954</v>
      </c>
      <c r="M37" s="106">
        <f>L37*$M$35</f>
        <v>351720.61963295913</v>
      </c>
      <c r="N37" s="106">
        <f>SUM(L37:M37)</f>
        <v>2110323.7177977543</v>
      </c>
      <c r="O37" s="107">
        <f>N37/$E$4/12</f>
        <v>0.29149293283620753</v>
      </c>
      <c r="P37" s="52">
        <f>((O37*1.04)*1.055)*1.045</f>
        <v>0.33421821797374185</v>
      </c>
    </row>
    <row r="38" spans="1:18" ht="15" customHeight="1" x14ac:dyDescent="0.2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1"/>
    </row>
    <row r="39" spans="1:18" ht="15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54"/>
    </row>
    <row r="40" spans="1:18" ht="15" customHeight="1" x14ac:dyDescent="0.25">
      <c r="A40" s="55" t="s">
        <v>41</v>
      </c>
      <c r="B40" s="187" t="s">
        <v>42</v>
      </c>
      <c r="C40" s="188"/>
      <c r="D40" s="59">
        <v>17.707999999999998</v>
      </c>
      <c r="E40" s="108">
        <f>D40*E35*12</f>
        <v>3284763.1679999996</v>
      </c>
      <c r="F40" s="31">
        <f>E40*$F$35</f>
        <v>994626.28727039997</v>
      </c>
      <c r="G40" s="31">
        <f>E40*$G$35</f>
        <v>637244.05459199997</v>
      </c>
      <c r="H40" s="31">
        <f>E40*$H$35</f>
        <v>525562.10687999998</v>
      </c>
      <c r="I40" s="31">
        <f>E40*$I$35</f>
        <v>1560262.5047999998</v>
      </c>
      <c r="J40" s="31">
        <f>SUM(E40:I40)</f>
        <v>7002458.1215423997</v>
      </c>
      <c r="K40" s="31">
        <f>J40*$K$35</f>
        <v>21007.374364627201</v>
      </c>
      <c r="L40" s="31">
        <f>SUM(J40:K40)</f>
        <v>7023465.4959070273</v>
      </c>
      <c r="M40" s="29">
        <f>L40*$M$35</f>
        <v>1404693.0991814055</v>
      </c>
      <c r="N40" s="29">
        <f>SUM(L40:M40)</f>
        <v>8428158.5950884335</v>
      </c>
      <c r="O40" s="127">
        <f>N40/$E$4/12</f>
        <v>1.164157255387708</v>
      </c>
      <c r="P40" s="52">
        <f>((O40*1.04)*1.055)*1.045</f>
        <v>1.3347924409389058</v>
      </c>
    </row>
    <row r="41" spans="1:18" ht="15" customHeight="1" x14ac:dyDescent="0.25">
      <c r="A41" s="55" t="s">
        <v>43</v>
      </c>
      <c r="B41" s="187" t="s">
        <v>42</v>
      </c>
      <c r="C41" s="188"/>
      <c r="D41" s="59">
        <v>0.97499999999999998</v>
      </c>
      <c r="E41" s="108">
        <f>D41*E35*12</f>
        <v>180858.59999999998</v>
      </c>
      <c r="F41" s="56">
        <f>E41*$F$35</f>
        <v>54763.984079999995</v>
      </c>
      <c r="G41" s="56">
        <f>E41*$G$35</f>
        <v>35086.568399999996</v>
      </c>
      <c r="H41" s="56">
        <f>E41*$H$35</f>
        <v>28937.375999999997</v>
      </c>
      <c r="I41" s="56">
        <f>E41*$I$35</f>
        <v>85907.834999999992</v>
      </c>
      <c r="J41" s="56">
        <f>SUM(E41:I41)</f>
        <v>385554.36347999994</v>
      </c>
      <c r="K41" s="56">
        <f>J41*$K$35</f>
        <v>1156.6630904399999</v>
      </c>
      <c r="L41" s="56">
        <f>SUM(J41:K41)</f>
        <v>386711.02657043992</v>
      </c>
      <c r="M41" s="29">
        <f>L41*$M$35</f>
        <v>77342.205314087987</v>
      </c>
      <c r="N41" s="29">
        <f>SUM(L41:M41)</f>
        <v>464053.23188452789</v>
      </c>
      <c r="O41" s="109">
        <f>N41/$E$4/12</f>
        <v>6.4098335441778578E-2</v>
      </c>
      <c r="P41" s="52">
        <f>((O41*1.04)*1.055)*1.045</f>
        <v>7.3493484860821842E-2</v>
      </c>
    </row>
    <row r="42" spans="1:18" ht="15" customHeight="1" x14ac:dyDescent="0.25">
      <c r="A42" s="58" t="s">
        <v>44</v>
      </c>
      <c r="B42" s="187" t="s">
        <v>30</v>
      </c>
      <c r="C42" s="188"/>
      <c r="D42" s="59">
        <v>1.224</v>
      </c>
      <c r="E42" s="108">
        <f>D42*E35*12</f>
        <v>227047.10399999999</v>
      </c>
      <c r="F42" s="31">
        <f>E42*$F$35</f>
        <v>68749.863091199994</v>
      </c>
      <c r="G42" s="31">
        <f>E42*$G$35</f>
        <v>44047.138176</v>
      </c>
      <c r="H42" s="31">
        <f>E42*$H$35</f>
        <v>36327.536639999998</v>
      </c>
      <c r="I42" s="31">
        <f>E42*$I$35</f>
        <v>107847.37439999999</v>
      </c>
      <c r="J42" s="31">
        <f>SUM(E42:I42)</f>
        <v>484019.01630719996</v>
      </c>
      <c r="K42" s="31">
        <f>J42*$K$35</f>
        <v>1452.0570489216</v>
      </c>
      <c r="L42" s="31">
        <f>SUM(J42:K42)</f>
        <v>485471.07335612155</v>
      </c>
      <c r="M42" s="29">
        <f>L42*$M$35</f>
        <v>97094.214671224312</v>
      </c>
      <c r="N42" s="29">
        <f>SUM(L42:M42)</f>
        <v>582565.2880273459</v>
      </c>
      <c r="O42" s="127">
        <f>N42/$E$4/12</f>
        <v>8.0468064185371266E-2</v>
      </c>
      <c r="P42" s="52">
        <f>((O42*1.04)*1.055)*1.045</f>
        <v>9.2262590225277871E-2</v>
      </c>
    </row>
    <row r="43" spans="1:18" ht="26.25" customHeight="1" x14ac:dyDescent="0.2">
      <c r="A43" s="151" t="s">
        <v>45</v>
      </c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3"/>
    </row>
    <row r="44" spans="1:18" ht="15" customHeight="1" x14ac:dyDescent="0.25">
      <c r="A44" s="58" t="s">
        <v>46</v>
      </c>
      <c r="B44" s="187" t="s">
        <v>30</v>
      </c>
      <c r="C44" s="188"/>
      <c r="D44" s="59">
        <v>0.16600000000000001</v>
      </c>
      <c r="E44" s="108">
        <f>D44*$E$35*12</f>
        <v>30792.336000000003</v>
      </c>
      <c r="F44" s="31">
        <f>E44*$F$35</f>
        <v>9323.919340800001</v>
      </c>
      <c r="G44" s="31">
        <f>E44*$G$35</f>
        <v>5973.7131840000011</v>
      </c>
      <c r="H44" s="31">
        <f>E44*$H$35</f>
        <v>4926.7737600000009</v>
      </c>
      <c r="I44" s="31">
        <f>E44*$I$35</f>
        <v>14626.359600000002</v>
      </c>
      <c r="J44" s="31">
        <f>SUM(E44:I44)</f>
        <v>65643.101884800009</v>
      </c>
      <c r="K44" s="31">
        <f>J44*$K$35</f>
        <v>196.92930565440003</v>
      </c>
      <c r="L44" s="31">
        <f>SUM(J44:K44)</f>
        <v>65840.031190454407</v>
      </c>
      <c r="M44" s="29">
        <f>L44*$M$35</f>
        <v>13168.006238090882</v>
      </c>
      <c r="N44" s="29">
        <f>SUM(L44:M44)</f>
        <v>79008.037428545285</v>
      </c>
      <c r="O44" s="37">
        <f>N44/$E$4/12</f>
        <v>1.0913152495728459E-2</v>
      </c>
      <c r="P44" s="52">
        <f>((O44*1.04)*1.055)*1.045</f>
        <v>1.251273690963736E-2</v>
      </c>
    </row>
    <row r="45" spans="1:18" ht="15" customHeight="1" x14ac:dyDescent="0.25">
      <c r="A45" s="58" t="s">
        <v>47</v>
      </c>
      <c r="B45" s="187" t="s">
        <v>30</v>
      </c>
      <c r="C45" s="188"/>
      <c r="D45" s="59">
        <v>0.20599999999999999</v>
      </c>
      <c r="E45" s="108">
        <f>D45*$E$35*12</f>
        <v>38212.175999999999</v>
      </c>
      <c r="F45" s="31">
        <f>E45*$F$35</f>
        <v>11570.646892799999</v>
      </c>
      <c r="G45" s="31">
        <f>E45*$G$35</f>
        <v>7413.1621439999999</v>
      </c>
      <c r="H45" s="31">
        <f>E45*$H$35</f>
        <v>6113.9481599999999</v>
      </c>
      <c r="I45" s="31">
        <f>E45*$I$35</f>
        <v>18150.783599999999</v>
      </c>
      <c r="J45" s="31">
        <f>SUM(E45:I45)</f>
        <v>81460.716796799999</v>
      </c>
      <c r="K45" s="31">
        <f>J45*$K$35</f>
        <v>244.3821503904</v>
      </c>
      <c r="L45" s="31">
        <f>SUM(J45:K45)</f>
        <v>81705.098947190403</v>
      </c>
      <c r="M45" s="29">
        <f>L45*$M$35</f>
        <v>16341.019789438082</v>
      </c>
      <c r="N45" s="29">
        <f>SUM(L45:M45)</f>
        <v>98046.118736628487</v>
      </c>
      <c r="O45" s="37">
        <f>N45/$E$4/12</f>
        <v>1.3542827795903991E-2</v>
      </c>
      <c r="P45" s="52">
        <f>((O45*1.04)*1.055)*1.045</f>
        <v>1.5527854237260819E-2</v>
      </c>
    </row>
    <row r="46" spans="1:18" ht="15" customHeight="1" x14ac:dyDescent="0.25">
      <c r="A46" s="58" t="s">
        <v>48</v>
      </c>
      <c r="B46" s="187" t="s">
        <v>30</v>
      </c>
      <c r="C46" s="188"/>
      <c r="D46" s="59">
        <v>1.1060000000000001</v>
      </c>
      <c r="E46" s="108">
        <f>D46*$E$35*12</f>
        <v>205158.57600000003</v>
      </c>
      <c r="F46" s="31">
        <f>E46*$F$35</f>
        <v>62122.016812800015</v>
      </c>
      <c r="G46" s="31">
        <f>E46*$G$35</f>
        <v>39800.763744000003</v>
      </c>
      <c r="H46" s="31">
        <f>E46*$H$35</f>
        <v>32825.372160000006</v>
      </c>
      <c r="I46" s="31">
        <f>E46*$I$35</f>
        <v>97450.323600000003</v>
      </c>
      <c r="J46" s="31">
        <f>SUM(E46:I46)</f>
        <v>437357.05231680005</v>
      </c>
      <c r="K46" s="31">
        <f>J46*$K$35</f>
        <v>1312.0711569504001</v>
      </c>
      <c r="L46" s="31">
        <f>SUM(J46:K46)</f>
        <v>438669.12347375043</v>
      </c>
      <c r="M46" s="29">
        <f>L46*$M$35</f>
        <v>87733.824694750088</v>
      </c>
      <c r="N46" s="29">
        <f>SUM(L46:M46)</f>
        <v>526402.94816850056</v>
      </c>
      <c r="O46" s="37">
        <f>N46/$E$4/12</f>
        <v>7.2710522049853468E-2</v>
      </c>
      <c r="P46" s="52">
        <f>((O46*1.04)*1.055)*1.045</f>
        <v>8.3367994108788687E-2</v>
      </c>
    </row>
    <row r="47" spans="1:18" ht="15" customHeight="1" x14ac:dyDescent="0.25">
      <c r="A47" s="58" t="s">
        <v>49</v>
      </c>
      <c r="B47" s="187" t="s">
        <v>30</v>
      </c>
      <c r="C47" s="188"/>
      <c r="D47" s="59">
        <v>0.436</v>
      </c>
      <c r="E47" s="108">
        <f>D47*$E$35*12</f>
        <v>80876.255999999994</v>
      </c>
      <c r="F47" s="31">
        <f>E47*$F$35</f>
        <v>24489.330316799998</v>
      </c>
      <c r="G47" s="31">
        <f>E47*$G$35</f>
        <v>15689.993664</v>
      </c>
      <c r="H47" s="31">
        <f>E47*$H$35</f>
        <v>12940.20096</v>
      </c>
      <c r="I47" s="31">
        <f>E47*$I$35</f>
        <v>38416.221599999997</v>
      </c>
      <c r="J47" s="31">
        <f>SUM(E47:I47)</f>
        <v>172412.00254079996</v>
      </c>
      <c r="K47" s="31">
        <f>J47*$K$35</f>
        <v>517.23600762239994</v>
      </c>
      <c r="L47" s="31">
        <f>SUM(J47:K47)</f>
        <v>172929.23854842238</v>
      </c>
      <c r="M47" s="29">
        <f>L47*$M$35</f>
        <v>34585.84770968448</v>
      </c>
      <c r="N47" s="29">
        <f>SUM(L47:M47)</f>
        <v>207515.08625810686</v>
      </c>
      <c r="O47" s="37">
        <f>N47/$E$4/12</f>
        <v>2.8663460771913295E-2</v>
      </c>
      <c r="P47" s="52">
        <f>((O47*1.04)*1.055)*1.045</f>
        <v>3.2864778871095714E-2</v>
      </c>
    </row>
    <row r="48" spans="1:18" ht="15" customHeight="1" x14ac:dyDescent="0.25">
      <c r="A48" s="58" t="s">
        <v>50</v>
      </c>
      <c r="B48" s="187" t="s">
        <v>30</v>
      </c>
      <c r="C48" s="188"/>
      <c r="D48" s="59">
        <v>1.897</v>
      </c>
      <c r="E48" s="108">
        <f>D48*$E$35*12</f>
        <v>351885.91200000001</v>
      </c>
      <c r="F48" s="31">
        <f>E48*$F$35</f>
        <v>106551.05415360001</v>
      </c>
      <c r="G48" s="31">
        <f>E48*$G$35</f>
        <v>68265.866928000003</v>
      </c>
      <c r="H48" s="31">
        <f>E48*$H$35</f>
        <v>56301.745920000001</v>
      </c>
      <c r="I48" s="31">
        <f>E48*$I$35</f>
        <v>167145.8082</v>
      </c>
      <c r="J48" s="31">
        <f>SUM(E48:I48)</f>
        <v>750150.38720160001</v>
      </c>
      <c r="K48" s="31">
        <f>J48*$K$35</f>
        <v>2250.4511616048003</v>
      </c>
      <c r="L48" s="31">
        <f>SUM(J48:K48)</f>
        <v>752400.83836320485</v>
      </c>
      <c r="M48" s="29">
        <f>L48*$M$35</f>
        <v>150480.16767264096</v>
      </c>
      <c r="N48" s="29">
        <f>SUM(L48:M48)</f>
        <v>902881.00603584584</v>
      </c>
      <c r="O48" s="37">
        <f>N48/$E$4/12</f>
        <v>0.12471235111082461</v>
      </c>
      <c r="P48" s="52">
        <f>((O48*1.04)*1.05)*1.0455</f>
        <v>0.14238234529031293</v>
      </c>
    </row>
    <row r="49" spans="1:16" ht="15" customHeight="1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37"/>
    </row>
    <row r="50" spans="1:16" ht="15" customHeight="1" x14ac:dyDescent="0.25">
      <c r="A50" s="58" t="s">
        <v>52</v>
      </c>
      <c r="B50" s="187" t="s">
        <v>30</v>
      </c>
      <c r="C50" s="188"/>
      <c r="D50" s="59">
        <v>2.915</v>
      </c>
      <c r="E50" s="108">
        <f>D50*$E$35*12</f>
        <v>540720.84</v>
      </c>
      <c r="F50" s="31">
        <f>E50*$F$35</f>
        <v>163730.27035199999</v>
      </c>
      <c r="G50" s="31">
        <f>E50*$G$35</f>
        <v>104899.84295999999</v>
      </c>
      <c r="H50" s="31">
        <f>E50*$H$35</f>
        <v>86515.334399999992</v>
      </c>
      <c r="I50" s="31">
        <f>E50*$I$35</f>
        <v>256842.39899999998</v>
      </c>
      <c r="J50" s="31">
        <f>SUM(E50:I50)</f>
        <v>1152708.6867120001</v>
      </c>
      <c r="K50" s="31">
        <f>J50*$K$35</f>
        <v>3458.1260601360004</v>
      </c>
      <c r="L50" s="31">
        <f>SUM(J50:K50)</f>
        <v>1156166.8127721359</v>
      </c>
      <c r="M50" s="29">
        <f>L50*$M$35</f>
        <v>231233.36255442721</v>
      </c>
      <c r="N50" s="29">
        <f>SUM(L50:M50)</f>
        <v>1387400.1753265632</v>
      </c>
      <c r="O50" s="37">
        <f>N50/$E$4/12</f>
        <v>0.19163758750029189</v>
      </c>
      <c r="P50" s="52">
        <f>((O50*1.04)*1.055)*1.045</f>
        <v>0.21972667525055967</v>
      </c>
    </row>
    <row r="51" spans="1:16" ht="15" customHeight="1" x14ac:dyDescent="0.25">
      <c r="A51" s="58" t="s">
        <v>53</v>
      </c>
      <c r="B51" s="187" t="s">
        <v>30</v>
      </c>
      <c r="C51" s="188"/>
      <c r="D51" s="59">
        <v>0.28999999999999998</v>
      </c>
      <c r="E51" s="108">
        <f>D51*$E$35*12</f>
        <v>53793.84</v>
      </c>
      <c r="F51" s="31">
        <f>E51*$F$35</f>
        <v>16288.774751999999</v>
      </c>
      <c r="G51" s="31">
        <f>E51*$G$35</f>
        <v>10436.00496</v>
      </c>
      <c r="H51" s="31">
        <f>E51*$H$35</f>
        <v>8607.0144</v>
      </c>
      <c r="I51" s="31">
        <f>E51*$I$35</f>
        <v>25552.073999999997</v>
      </c>
      <c r="J51" s="31">
        <f>SUM(E51:I51)</f>
        <v>114677.70811199999</v>
      </c>
      <c r="K51" s="31">
        <f>J51*$K$35</f>
        <v>344.03312433600001</v>
      </c>
      <c r="L51" s="31">
        <f>SUM(J51:K51)</f>
        <v>115021.74123633599</v>
      </c>
      <c r="M51" s="29">
        <f>L51*$M$35</f>
        <v>23004.3482472672</v>
      </c>
      <c r="N51" s="29">
        <f>SUM(L51:M51)</f>
        <v>138026.08948360319</v>
      </c>
      <c r="O51" s="37">
        <f>N51/$E$4/12</f>
        <v>1.9065145926272606E-2</v>
      </c>
      <c r="P51" s="52">
        <f>((O51*1.04)*1.055)*1.045</f>
        <v>2.1859600625270082E-2</v>
      </c>
    </row>
    <row r="52" spans="1:16" ht="15" customHeight="1" x14ac:dyDescent="0.25">
      <c r="A52" s="58" t="s">
        <v>54</v>
      </c>
      <c r="B52" s="187" t="s">
        <v>30</v>
      </c>
      <c r="C52" s="188"/>
      <c r="D52" s="59">
        <v>0.44400000000000001</v>
      </c>
      <c r="E52" s="108">
        <f>D52*$E$35*12</f>
        <v>82360.224000000002</v>
      </c>
      <c r="F52" s="31">
        <f>E52*$F$35</f>
        <v>24938.675827200001</v>
      </c>
      <c r="G52" s="31">
        <f>E52*$G$35</f>
        <v>15977.883456000001</v>
      </c>
      <c r="H52" s="31">
        <f>E52*$H$35</f>
        <v>13177.635840000001</v>
      </c>
      <c r="I52" s="31">
        <f>E52*$I$35</f>
        <v>39121.106399999997</v>
      </c>
      <c r="J52" s="31">
        <f>SUM(E52:I52)</f>
        <v>175575.52552319999</v>
      </c>
      <c r="K52" s="31">
        <f>J52*$K$35</f>
        <v>526.72657656959996</v>
      </c>
      <c r="L52" s="31">
        <f>SUM(J52:K52)</f>
        <v>176102.2520997696</v>
      </c>
      <c r="M52" s="29">
        <f>L52*$M$35</f>
        <v>35220.450419953922</v>
      </c>
      <c r="N52" s="29">
        <f>SUM(L52:M52)</f>
        <v>211322.70251972351</v>
      </c>
      <c r="O52" s="37">
        <f>N52/$E$4/12</f>
        <v>2.9189395831948402E-2</v>
      </c>
      <c r="P52" s="52">
        <f>((O52*1.04)*1.055)*1.045</f>
        <v>3.3467802336620403E-2</v>
      </c>
    </row>
    <row r="53" spans="1:16" s="11" customFormat="1" ht="15" customHeight="1" x14ac:dyDescent="0.25">
      <c r="A53" s="60" t="s">
        <v>55</v>
      </c>
      <c r="B53" s="203"/>
      <c r="C53" s="219"/>
      <c r="D53" s="134">
        <f>D40+D41+D44+D45+D42+D46+D47+D48+D50+D51+D52</f>
        <v>27.366999999999997</v>
      </c>
      <c r="E53" s="110">
        <f t="shared" ref="E53:O53" si="3">E40+E41+E44+E45+E42+E46+E47+E48+E50+E51+E52</f>
        <v>5076469.0319999997</v>
      </c>
      <c r="F53" s="134">
        <f t="shared" si="3"/>
        <v>1537154.8228895999</v>
      </c>
      <c r="G53" s="134">
        <f t="shared" si="3"/>
        <v>984834.99220799992</v>
      </c>
      <c r="H53" s="134">
        <f t="shared" si="3"/>
        <v>812235.04512000002</v>
      </c>
      <c r="I53" s="134">
        <f t="shared" si="3"/>
        <v>2411322.7901999997</v>
      </c>
      <c r="J53" s="134">
        <f t="shared" si="3"/>
        <v>10822016.682417601</v>
      </c>
      <c r="K53" s="134">
        <f t="shared" si="3"/>
        <v>32466.050047252804</v>
      </c>
      <c r="L53" s="134">
        <f t="shared" si="3"/>
        <v>10854482.732464854</v>
      </c>
      <c r="M53" s="111">
        <f t="shared" si="3"/>
        <v>2170896.5464929705</v>
      </c>
      <c r="N53" s="111">
        <f t="shared" si="3"/>
        <v>13025379.278957827</v>
      </c>
      <c r="O53" s="134">
        <f t="shared" si="3"/>
        <v>1.7991580984975943</v>
      </c>
      <c r="P53" s="52">
        <f>P52+P51+P50+P48+P47+P46+P45+P44+P42+P41+P40</f>
        <v>2.0622583036545512</v>
      </c>
    </row>
    <row r="54" spans="1:16" ht="15" customHeight="1" x14ac:dyDescent="0.2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3"/>
    </row>
    <row r="55" spans="1:16" ht="15" customHeight="1" x14ac:dyDescent="0.25">
      <c r="A55" s="58" t="s">
        <v>57</v>
      </c>
      <c r="B55" s="187" t="s">
        <v>58</v>
      </c>
      <c r="C55" s="188"/>
      <c r="D55" s="59">
        <v>1.736</v>
      </c>
      <c r="E55" s="105">
        <f>D55*$E$35*12</f>
        <v>322021.05599999998</v>
      </c>
      <c r="F55" s="52">
        <f>E55*$F$35</f>
        <v>97507.975756800006</v>
      </c>
      <c r="G55" s="52">
        <f>E55*$G$35</f>
        <v>62472.084863999997</v>
      </c>
      <c r="H55" s="52">
        <f>E55*$H$35</f>
        <v>51523.36896</v>
      </c>
      <c r="I55" s="52">
        <f>E55*$I$35</f>
        <v>152960.00159999999</v>
      </c>
      <c r="J55" s="52">
        <f>SUM(E55:I55)</f>
        <v>686484.48718079994</v>
      </c>
      <c r="K55" s="52">
        <f>J55*$K$35</f>
        <v>2059.4534615424</v>
      </c>
      <c r="L55" s="52">
        <f>SUM(J55:K55)</f>
        <v>688543.94064234232</v>
      </c>
      <c r="M55" s="106">
        <f>L55*$M$35</f>
        <v>137708.78812846847</v>
      </c>
      <c r="N55" s="106">
        <f>SUM(L55:M55)</f>
        <v>826252.72877081076</v>
      </c>
      <c r="O55" s="53">
        <f>N55/$E$4/12</f>
        <v>0.11412790802761807</v>
      </c>
      <c r="P55" s="52">
        <f>((O55*1.04)*1.055)*1.045</f>
        <v>0.13085609201885814</v>
      </c>
    </row>
    <row r="56" spans="1:16" ht="15" customHeight="1" x14ac:dyDescent="0.25">
      <c r="A56" s="63" t="s">
        <v>59</v>
      </c>
      <c r="B56" s="187" t="s">
        <v>60</v>
      </c>
      <c r="C56" s="188"/>
      <c r="D56" s="59">
        <v>0.14299999999999999</v>
      </c>
      <c r="E56" s="105">
        <f>D56*$E$35*12</f>
        <v>26525.927999999996</v>
      </c>
      <c r="F56" s="52">
        <f>E56*$F$35</f>
        <v>8032.0509983999991</v>
      </c>
      <c r="G56" s="52">
        <f>E56*$G$35</f>
        <v>5146.0300319999997</v>
      </c>
      <c r="H56" s="52">
        <f>E56*$H$35</f>
        <v>4244.1484799999998</v>
      </c>
      <c r="I56" s="52">
        <f>E56*$I$35</f>
        <v>12599.815799999998</v>
      </c>
      <c r="J56" s="52">
        <f>SUM(E56:I56)</f>
        <v>56547.97331039999</v>
      </c>
      <c r="K56" s="52">
        <f>J56*$K$35</f>
        <v>169.64391993119997</v>
      </c>
      <c r="L56" s="52">
        <f>SUM(J56:K56)</f>
        <v>56717.617230331191</v>
      </c>
      <c r="M56" s="106">
        <f>L56*$M$35</f>
        <v>11343.52344606624</v>
      </c>
      <c r="N56" s="106">
        <f>SUM(L56:M56)</f>
        <v>68061.140676397423</v>
      </c>
      <c r="O56" s="53">
        <f>N56/$E$4/12</f>
        <v>9.4010891981275244E-3</v>
      </c>
      <c r="P56" s="52">
        <f>((O56*1.04)*1.055)*1.045</f>
        <v>1.0779044446253867E-2</v>
      </c>
    </row>
    <row r="57" spans="1:16" ht="15" customHeight="1" x14ac:dyDescent="0.25">
      <c r="A57" s="58" t="s">
        <v>61</v>
      </c>
      <c r="B57" s="187" t="s">
        <v>60</v>
      </c>
      <c r="C57" s="188"/>
      <c r="D57" s="59">
        <v>0.80200000000000005</v>
      </c>
      <c r="E57" s="105">
        <f>D57*$E$35*12</f>
        <v>148767.79200000002</v>
      </c>
      <c r="F57" s="52">
        <f>E57*$F$35</f>
        <v>45046.88741760001</v>
      </c>
      <c r="G57" s="52">
        <f>E57*$G$35</f>
        <v>28860.951648000006</v>
      </c>
      <c r="H57" s="52">
        <f>E57*$H$35</f>
        <v>23802.846720000001</v>
      </c>
      <c r="I57" s="52">
        <f>E57*$I$35</f>
        <v>70664.70120000001</v>
      </c>
      <c r="J57" s="52">
        <f>SUM(E57:I57)</f>
        <v>317143.17898560007</v>
      </c>
      <c r="K57" s="52">
        <f>J57*$K$35</f>
        <v>951.42953695680023</v>
      </c>
      <c r="L57" s="52">
        <f>SUM(J57:K57)</f>
        <v>318094.6085225569</v>
      </c>
      <c r="M57" s="106">
        <f>L57*$M$35</f>
        <v>63618.921704511384</v>
      </c>
      <c r="N57" s="106">
        <f>SUM(L57:M57)</f>
        <v>381713.53022706829</v>
      </c>
      <c r="O57" s="53">
        <f>N57/$E$4/12</f>
        <v>5.2724989768519435E-2</v>
      </c>
      <c r="P57" s="52">
        <f>((O57*1.04)*1.055)*1.045</f>
        <v>6.0453102418850393E-2</v>
      </c>
    </row>
    <row r="58" spans="1:16" ht="15" customHeight="1" x14ac:dyDescent="0.25">
      <c r="A58" s="58" t="s">
        <v>62</v>
      </c>
      <c r="B58" s="187" t="s">
        <v>60</v>
      </c>
      <c r="C58" s="188"/>
      <c r="D58" s="59">
        <v>1.321</v>
      </c>
      <c r="E58" s="105">
        <f>D58*$E$35*12</f>
        <v>245040.21600000001</v>
      </c>
      <c r="F58" s="52">
        <f>E58*$F$35</f>
        <v>74198.177404800008</v>
      </c>
      <c r="G58" s="52">
        <f>E58*$G$35</f>
        <v>47537.801904000007</v>
      </c>
      <c r="H58" s="52">
        <f>E58*$H$35</f>
        <v>39206.434560000002</v>
      </c>
      <c r="I58" s="52">
        <f>E58*$I$35</f>
        <v>116394.1026</v>
      </c>
      <c r="J58" s="52">
        <f>SUM(E58:I58)</f>
        <v>522376.73246880004</v>
      </c>
      <c r="K58" s="52">
        <f>J58*$K$35</f>
        <v>1567.1301974064002</v>
      </c>
      <c r="L58" s="52">
        <f>SUM(J58:K58)</f>
        <v>523943.86266620643</v>
      </c>
      <c r="M58" s="106">
        <f>L58*$M$35</f>
        <v>104788.7725332413</v>
      </c>
      <c r="N58" s="106">
        <f>SUM(L58:M58)</f>
        <v>628732.63519944774</v>
      </c>
      <c r="O58" s="53">
        <f>N58/$E$4/12</f>
        <v>8.6845026788296961E-2</v>
      </c>
      <c r="P58" s="52">
        <f>((O58*1.04)*1.055)*1.045</f>
        <v>9.9574249744764781E-2</v>
      </c>
    </row>
    <row r="59" spans="1:16" ht="15" customHeight="1" x14ac:dyDescent="0.25">
      <c r="A59" s="64" t="s">
        <v>63</v>
      </c>
      <c r="B59" s="187" t="s">
        <v>30</v>
      </c>
      <c r="C59" s="188"/>
      <c r="D59" s="194">
        <v>19.684999999999999</v>
      </c>
      <c r="E59" s="237">
        <f>D59*$E$35*12</f>
        <v>3651488.76</v>
      </c>
      <c r="F59" s="145">
        <f>E59*$F$35</f>
        <v>1105670.7965279999</v>
      </c>
      <c r="G59" s="145">
        <f>E59*$G$35</f>
        <v>708388.81943999999</v>
      </c>
      <c r="H59" s="145">
        <f>E59*$H$35</f>
        <v>584238.20160000003</v>
      </c>
      <c r="I59" s="145">
        <f>E59*$I$35</f>
        <v>1734457.1609999998</v>
      </c>
      <c r="J59" s="145">
        <f>SUM(E59:I59)</f>
        <v>7784243.7385680005</v>
      </c>
      <c r="K59" s="145">
        <f>J59*$K$35</f>
        <v>23352.731215704003</v>
      </c>
      <c r="L59" s="145">
        <f>SUM(J59:K59)</f>
        <v>7807596.4697837047</v>
      </c>
      <c r="M59" s="234">
        <f>L59*$M$35</f>
        <v>1561519.293956741</v>
      </c>
      <c r="N59" s="234">
        <f>SUM(L59:M59)</f>
        <v>9369115.7637404464</v>
      </c>
      <c r="O59" s="208">
        <f>N59/$E$4/12</f>
        <v>1.2941289570988839</v>
      </c>
      <c r="P59" s="145">
        <f>(1.9676789808*1.055)*1.045</f>
        <v>2.1693168843574795</v>
      </c>
    </row>
    <row r="60" spans="1:16" ht="15" customHeight="1" x14ac:dyDescent="0.25">
      <c r="A60" s="64" t="s">
        <v>64</v>
      </c>
      <c r="B60" s="187" t="s">
        <v>30</v>
      </c>
      <c r="C60" s="188"/>
      <c r="D60" s="195"/>
      <c r="E60" s="238"/>
      <c r="F60" s="146"/>
      <c r="G60" s="146"/>
      <c r="H60" s="146"/>
      <c r="I60" s="146"/>
      <c r="J60" s="146"/>
      <c r="K60" s="146"/>
      <c r="L60" s="146"/>
      <c r="M60" s="235"/>
      <c r="N60" s="235"/>
      <c r="O60" s="209"/>
      <c r="P60" s="146"/>
    </row>
    <row r="61" spans="1:16" ht="15" customHeight="1" x14ac:dyDescent="0.25">
      <c r="A61" s="64" t="s">
        <v>65</v>
      </c>
      <c r="B61" s="187" t="s">
        <v>42</v>
      </c>
      <c r="C61" s="188"/>
      <c r="D61" s="195"/>
      <c r="E61" s="238"/>
      <c r="F61" s="146"/>
      <c r="G61" s="146"/>
      <c r="H61" s="146"/>
      <c r="I61" s="146"/>
      <c r="J61" s="146"/>
      <c r="K61" s="146"/>
      <c r="L61" s="146"/>
      <c r="M61" s="235"/>
      <c r="N61" s="235"/>
      <c r="O61" s="209"/>
      <c r="P61" s="146"/>
    </row>
    <row r="62" spans="1:16" ht="15" customHeight="1" x14ac:dyDescent="0.25">
      <c r="A62" s="64" t="s">
        <v>66</v>
      </c>
      <c r="B62" s="187" t="s">
        <v>30</v>
      </c>
      <c r="C62" s="188"/>
      <c r="D62" s="196"/>
      <c r="E62" s="239"/>
      <c r="F62" s="147"/>
      <c r="G62" s="147"/>
      <c r="H62" s="147"/>
      <c r="I62" s="147"/>
      <c r="J62" s="147"/>
      <c r="K62" s="147"/>
      <c r="L62" s="147"/>
      <c r="M62" s="236"/>
      <c r="N62" s="236"/>
      <c r="O62" s="210"/>
      <c r="P62" s="147"/>
    </row>
    <row r="63" spans="1:16" ht="15" customHeight="1" x14ac:dyDescent="0.25">
      <c r="A63" s="58" t="s">
        <v>67</v>
      </c>
      <c r="B63" s="187" t="s">
        <v>42</v>
      </c>
      <c r="C63" s="188"/>
      <c r="D63" s="59">
        <v>0.108</v>
      </c>
      <c r="E63" s="105">
        <f>D63*$E$35*12</f>
        <v>20033.567999999999</v>
      </c>
      <c r="F63" s="52">
        <f>E63*$F$35</f>
        <v>6066.1643904000002</v>
      </c>
      <c r="G63" s="52">
        <f>E63*$G$35</f>
        <v>3886.5121920000001</v>
      </c>
      <c r="H63" s="52">
        <f>E63*$H$35</f>
        <v>3205.3708799999999</v>
      </c>
      <c r="I63" s="52">
        <f>E63*$I$35</f>
        <v>9515.9447999999993</v>
      </c>
      <c r="J63" s="52">
        <f>SUM(E63:I63)</f>
        <v>42707.560262400002</v>
      </c>
      <c r="K63" s="52">
        <f>J63*$K$35</f>
        <v>128.12268078720001</v>
      </c>
      <c r="L63" s="52">
        <f>SUM(J63:K63)</f>
        <v>42835.682943187203</v>
      </c>
      <c r="M63" s="106">
        <f>L63*$M$35</f>
        <v>8567.1365886374406</v>
      </c>
      <c r="N63" s="106">
        <f>SUM(L63:M63)</f>
        <v>51402.819531824643</v>
      </c>
      <c r="O63" s="53">
        <f>N63/$E$4/12</f>
        <v>7.1001233104739372E-3</v>
      </c>
      <c r="P63" s="52">
        <f>((O63*1.04)*1.055)*1.045</f>
        <v>8.1408167845833431E-3</v>
      </c>
    </row>
    <row r="64" spans="1:16" s="11" customFormat="1" ht="15" customHeight="1" x14ac:dyDescent="0.25">
      <c r="A64" s="61" t="s">
        <v>55</v>
      </c>
      <c r="B64" s="203"/>
      <c r="C64" s="219"/>
      <c r="D64" s="134">
        <f>SUM(D55:D63)</f>
        <v>23.794999999999998</v>
      </c>
      <c r="E64" s="110">
        <f t="shared" ref="E64:O64" si="4">SUM(E55:E63)</f>
        <v>4413877.32</v>
      </c>
      <c r="F64" s="134">
        <f t="shared" si="4"/>
        <v>1336522.052496</v>
      </c>
      <c r="G64" s="134">
        <f t="shared" si="4"/>
        <v>856292.20007999998</v>
      </c>
      <c r="H64" s="134">
        <f t="shared" si="4"/>
        <v>706220.37119999994</v>
      </c>
      <c r="I64" s="134">
        <f t="shared" si="4"/>
        <v>2096591.7269999997</v>
      </c>
      <c r="J64" s="134">
        <f t="shared" si="4"/>
        <v>9409503.6707760021</v>
      </c>
      <c r="K64" s="134">
        <f t="shared" si="4"/>
        <v>28228.511012328003</v>
      </c>
      <c r="L64" s="134">
        <f t="shared" si="4"/>
        <v>9437732.181788329</v>
      </c>
      <c r="M64" s="111">
        <f t="shared" si="4"/>
        <v>1887546.4363576658</v>
      </c>
      <c r="N64" s="111">
        <f t="shared" si="4"/>
        <v>11325278.618145995</v>
      </c>
      <c r="O64" s="134">
        <f t="shared" si="4"/>
        <v>1.5643280941919198</v>
      </c>
      <c r="P64" s="52">
        <f>((O64*1.04)*1.055)*1.045</f>
        <v>1.793617920270006</v>
      </c>
    </row>
    <row r="65" spans="1:16" ht="15" customHeight="1" x14ac:dyDescent="0.2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</row>
    <row r="66" spans="1:16" ht="15" customHeight="1" x14ac:dyDescent="0.25">
      <c r="A66" s="151" t="s">
        <v>69</v>
      </c>
      <c r="B66" s="152"/>
      <c r="C66" s="153"/>
      <c r="D66" s="59">
        <v>0.68</v>
      </c>
      <c r="E66" s="105">
        <f>D66*$E$35*12</f>
        <v>126137.28</v>
      </c>
      <c r="F66" s="52">
        <f>E66*$F$35</f>
        <v>38194.368384000001</v>
      </c>
      <c r="G66" s="52">
        <f>E66*$G$35</f>
        <v>24470.632320000001</v>
      </c>
      <c r="H66" s="52">
        <f>E66*$H$35</f>
        <v>20181.964800000002</v>
      </c>
      <c r="I66" s="52">
        <f>E66*$I$35</f>
        <v>59915.207999999999</v>
      </c>
      <c r="J66" s="52">
        <f>SUM(E66:I66)</f>
        <v>268899.45350399998</v>
      </c>
      <c r="K66" s="52">
        <f>J66*$K$35</f>
        <v>806.69836051199991</v>
      </c>
      <c r="L66" s="52">
        <f>SUM(J66:K66)</f>
        <v>269706.15186451195</v>
      </c>
      <c r="M66" s="106">
        <f>L66*$M$35</f>
        <v>53941.230372902392</v>
      </c>
      <c r="N66" s="106">
        <f>SUM(L66:M66)</f>
        <v>323647.38223741436</v>
      </c>
      <c r="O66" s="52">
        <f>N66/$E$4/12</f>
        <v>4.4704480102984036E-2</v>
      </c>
      <c r="P66" s="52">
        <f>((O66*1.04)*1.055)*1.045</f>
        <v>5.1256994569598813E-2</v>
      </c>
    </row>
    <row r="67" spans="1:16" ht="15" customHeight="1" x14ac:dyDescent="0.25">
      <c r="A67" s="151" t="s">
        <v>70</v>
      </c>
      <c r="B67" s="152"/>
      <c r="C67" s="153"/>
      <c r="D67" s="59">
        <v>0.97</v>
      </c>
      <c r="E67" s="105">
        <f>D67*$E$35*12</f>
        <v>179931.12</v>
      </c>
      <c r="F67" s="52">
        <f>E67*$F$35</f>
        <v>54483.143135999999</v>
      </c>
      <c r="G67" s="52">
        <f>E67*$G$35</f>
        <v>34906.637280000003</v>
      </c>
      <c r="H67" s="52">
        <f>E67*$H$35</f>
        <v>28788.979200000002</v>
      </c>
      <c r="I67" s="52">
        <f>E67*$I$35</f>
        <v>85467.281999999992</v>
      </c>
      <c r="J67" s="52">
        <f>SUM(E67:I67)</f>
        <v>383577.161616</v>
      </c>
      <c r="K67" s="52">
        <f>J67*$K$35</f>
        <v>1150.731484848</v>
      </c>
      <c r="L67" s="52">
        <f>SUM(J67:K67)</f>
        <v>384727.89310084801</v>
      </c>
      <c r="M67" s="106">
        <f>L67*$M$35</f>
        <v>76945.578620169603</v>
      </c>
      <c r="N67" s="106">
        <f>SUM(L67:M67)</f>
        <v>461673.47172101762</v>
      </c>
      <c r="O67" s="52">
        <f>N67/$E$4/12</f>
        <v>6.3769626029256649E-2</v>
      </c>
      <c r="P67" s="52">
        <f>((O67*1.04)*1.055)*1.045</f>
        <v>7.3116595194868905E-2</v>
      </c>
    </row>
    <row r="68" spans="1:16" ht="15" customHeight="1" x14ac:dyDescent="0.25">
      <c r="A68" s="151" t="s">
        <v>55</v>
      </c>
      <c r="B68" s="152"/>
      <c r="C68" s="153"/>
      <c r="D68" s="134">
        <f>D67+D66</f>
        <v>1.65</v>
      </c>
      <c r="E68" s="110">
        <f t="shared" ref="E68:O68" si="5">E67+E66</f>
        <v>306068.40000000002</v>
      </c>
      <c r="F68" s="134">
        <f t="shared" si="5"/>
        <v>92677.51152</v>
      </c>
      <c r="G68" s="134">
        <f t="shared" si="5"/>
        <v>59377.2696</v>
      </c>
      <c r="H68" s="134">
        <f t="shared" si="5"/>
        <v>48970.944000000003</v>
      </c>
      <c r="I68" s="134">
        <f t="shared" si="5"/>
        <v>145382.49</v>
      </c>
      <c r="J68" s="134">
        <f t="shared" si="5"/>
        <v>652476.61511999997</v>
      </c>
      <c r="K68" s="134">
        <f t="shared" si="5"/>
        <v>1957.4298453599999</v>
      </c>
      <c r="L68" s="134">
        <f t="shared" si="5"/>
        <v>654434.04496535996</v>
      </c>
      <c r="M68" s="111">
        <f t="shared" si="5"/>
        <v>130886.80899307199</v>
      </c>
      <c r="N68" s="111">
        <f t="shared" si="5"/>
        <v>785320.85395843198</v>
      </c>
      <c r="O68" s="134">
        <f t="shared" si="5"/>
        <v>0.10847410613224068</v>
      </c>
      <c r="P68" s="52">
        <f>((O68*1.04)*1.055)*1.045</f>
        <v>0.12437358976446772</v>
      </c>
    </row>
    <row r="69" spans="1:16" ht="15" customHeight="1" x14ac:dyDescent="0.25">
      <c r="A69" s="112"/>
      <c r="B69" s="113"/>
      <c r="C69" s="113"/>
      <c r="D69" s="113"/>
      <c r="E69" s="114"/>
      <c r="F69" s="113"/>
      <c r="G69" s="113"/>
      <c r="H69" s="113"/>
      <c r="I69" s="113"/>
      <c r="J69" s="113"/>
      <c r="K69" s="113"/>
      <c r="L69" s="113"/>
      <c r="M69" s="115"/>
      <c r="N69" s="115"/>
      <c r="O69" s="113"/>
      <c r="P69" s="52"/>
    </row>
    <row r="70" spans="1:16" ht="15" customHeight="1" x14ac:dyDescent="0.25">
      <c r="A70" s="179" t="s">
        <v>89</v>
      </c>
      <c r="B70" s="180"/>
      <c r="C70" s="181"/>
      <c r="D70" s="33"/>
      <c r="E70" s="102"/>
      <c r="F70" s="33"/>
      <c r="G70" s="33"/>
      <c r="H70" s="33"/>
      <c r="I70" s="33"/>
      <c r="J70" s="33">
        <f>0.37*E4*12</f>
        <v>2678691.96</v>
      </c>
      <c r="K70" s="33">
        <f>J70*0.3%</f>
        <v>8036.0758800000003</v>
      </c>
      <c r="L70" s="33">
        <f>SUM(J70:K70)</f>
        <v>2686728.0358799999</v>
      </c>
      <c r="M70" s="103">
        <f>L70*0.2</f>
        <v>537345.60717600002</v>
      </c>
      <c r="N70" s="103">
        <f>SUM(L70:M70)</f>
        <v>3224073.6430559997</v>
      </c>
      <c r="O70" s="31">
        <f>N70/E4/12</f>
        <v>0.44533200000000001</v>
      </c>
      <c r="P70" s="52">
        <f>(0.47*1.055)*1.045</f>
        <v>0.51816324999999996</v>
      </c>
    </row>
    <row r="71" spans="1:16" ht="15" customHeight="1" x14ac:dyDescent="0.25">
      <c r="A71" s="203"/>
      <c r="B71" s="204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52"/>
    </row>
    <row r="72" spans="1:16" ht="15" customHeight="1" x14ac:dyDescent="0.25">
      <c r="A72" s="179" t="s">
        <v>72</v>
      </c>
      <c r="B72" s="180"/>
      <c r="C72" s="181"/>
      <c r="D72" s="33"/>
      <c r="E72" s="102"/>
      <c r="F72" s="33"/>
      <c r="G72" s="33"/>
      <c r="H72" s="33"/>
      <c r="I72" s="33"/>
      <c r="J72" s="33">
        <f>1.49*E4*12</f>
        <v>10787164.92</v>
      </c>
      <c r="K72" s="33">
        <f>J72*0.3%</f>
        <v>32361.494760000001</v>
      </c>
      <c r="L72" s="33">
        <f>SUM(J72:K72)</f>
        <v>10819526.414759999</v>
      </c>
      <c r="M72" s="103">
        <f>L72*0.2</f>
        <v>2163905.2829519999</v>
      </c>
      <c r="N72" s="103">
        <f>SUM(L72:M72)</f>
        <v>12983431.697711999</v>
      </c>
      <c r="O72" s="31">
        <f>N72/E4/12</f>
        <v>1.7933639999999997</v>
      </c>
      <c r="P72" s="52">
        <f>((O72*1.04)*1.055)*1.045</f>
        <v>2.0562245349359993</v>
      </c>
    </row>
    <row r="73" spans="1:16" ht="15" hidden="1" customHeight="1" x14ac:dyDescent="0.3">
      <c r="A73" s="203"/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31"/>
    </row>
    <row r="74" spans="1:16" ht="15" hidden="1" customHeight="1" x14ac:dyDescent="0.3">
      <c r="A74" s="220" t="s">
        <v>73</v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31"/>
    </row>
    <row r="75" spans="1:16" ht="15" hidden="1" customHeight="1" x14ac:dyDescent="0.3">
      <c r="A75" s="205" t="s">
        <v>75</v>
      </c>
      <c r="B75" s="206"/>
      <c r="C75" s="207"/>
      <c r="D75" s="66"/>
      <c r="E75" s="116"/>
      <c r="F75" s="66"/>
      <c r="G75" s="66"/>
      <c r="H75" s="66"/>
      <c r="I75" s="66"/>
      <c r="J75" s="117"/>
      <c r="K75" s="66"/>
      <c r="L75" s="66">
        <f>0.275*E4*12</f>
        <v>1990919.7000000002</v>
      </c>
      <c r="M75" s="118">
        <f>L75*0.2</f>
        <v>398183.94000000006</v>
      </c>
      <c r="N75" s="118">
        <f>L75+M75</f>
        <v>2389103.64</v>
      </c>
      <c r="O75" s="31">
        <f>N75/E4/12</f>
        <v>0.33</v>
      </c>
      <c r="P75" s="31">
        <v>0</v>
      </c>
    </row>
    <row r="76" spans="1:16" ht="15" hidden="1" customHeight="1" x14ac:dyDescent="0.3">
      <c r="A76" s="201" t="s">
        <v>22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32">
        <f>SUM(O75:O75)</f>
        <v>0.33</v>
      </c>
      <c r="P76" s="31">
        <v>0</v>
      </c>
    </row>
    <row r="77" spans="1:16" ht="15" customHeight="1" x14ac:dyDescent="0.25">
      <c r="A77" s="203"/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19"/>
      <c r="P77" s="54"/>
    </row>
    <row r="78" spans="1:16" s="9" customFormat="1" ht="29.25" customHeight="1" x14ac:dyDescent="0.25">
      <c r="A78" s="201" t="s">
        <v>124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32">
        <f>O76+O72+O70+O37+O31+O21+O68+O64+O53+O22+O23</f>
        <v>14.38996209575223</v>
      </c>
      <c r="P78" s="31">
        <f>P76+P72+P70+P37+P31+P21+P68+P64+P53+P22+P23</f>
        <v>15.948233374742111</v>
      </c>
    </row>
    <row r="79" spans="1:16" ht="15" x14ac:dyDescent="0.25">
      <c r="A79" s="16"/>
      <c r="B79" s="16"/>
      <c r="C79" s="16"/>
      <c r="D79" s="16"/>
      <c r="E79" s="119"/>
      <c r="F79" s="16"/>
      <c r="G79" s="16"/>
      <c r="H79" s="16"/>
      <c r="I79" s="16"/>
      <c r="J79" s="16"/>
      <c r="K79" s="16"/>
      <c r="L79" s="16"/>
      <c r="M79" s="120"/>
      <c r="N79" s="120"/>
      <c r="O79" s="16"/>
      <c r="P79" s="16"/>
    </row>
    <row r="80" spans="1:16" ht="15" x14ac:dyDescent="0.25">
      <c r="A80" s="80" t="s">
        <v>94</v>
      </c>
      <c r="B80" s="80"/>
      <c r="C80" s="80"/>
      <c r="D80" s="80"/>
      <c r="E80" s="121"/>
      <c r="F80" s="14"/>
      <c r="G80" s="14"/>
      <c r="H80" s="14"/>
      <c r="I80" s="14"/>
      <c r="J80" s="14"/>
      <c r="K80" s="14"/>
      <c r="L80" s="80" t="s">
        <v>78</v>
      </c>
      <c r="M80" s="80"/>
      <c r="N80" s="80"/>
      <c r="O80" s="80"/>
      <c r="P80" s="81"/>
    </row>
    <row r="89" spans="4:4" x14ac:dyDescent="0.2">
      <c r="D89" s="2">
        <f>D68+D64+D53+D37</f>
        <v>57.245899999999999</v>
      </c>
    </row>
  </sheetData>
  <mergeCells count="109">
    <mergeCell ref="A2:P2"/>
    <mergeCell ref="A3:P3"/>
    <mergeCell ref="A6:A9"/>
    <mergeCell ref="B6:B8"/>
    <mergeCell ref="C6:C8"/>
    <mergeCell ref="D6:D8"/>
    <mergeCell ref="E6:E7"/>
    <mergeCell ref="F6:F7"/>
    <mergeCell ref="G6:G7"/>
    <mergeCell ref="H6:H7"/>
    <mergeCell ref="O6:O8"/>
    <mergeCell ref="P6:P8"/>
    <mergeCell ref="A5:P5"/>
    <mergeCell ref="A10:O10"/>
    <mergeCell ref="A18:O18"/>
    <mergeCell ref="D22:K22"/>
    <mergeCell ref="D23:K23"/>
    <mergeCell ref="I6:I7"/>
    <mergeCell ref="J6:J8"/>
    <mergeCell ref="K6:K7"/>
    <mergeCell ref="L6:L8"/>
    <mergeCell ref="M6:M7"/>
    <mergeCell ref="N6:N8"/>
    <mergeCell ref="M25:M26"/>
    <mergeCell ref="N25:N27"/>
    <mergeCell ref="O25:O27"/>
    <mergeCell ref="P25:P27"/>
    <mergeCell ref="A32:O32"/>
    <mergeCell ref="A33:A36"/>
    <mergeCell ref="B33:B35"/>
    <mergeCell ref="C33:C35"/>
    <mergeCell ref="D33:D35"/>
    <mergeCell ref="E33:E34"/>
    <mergeCell ref="G25:G26"/>
    <mergeCell ref="H25:H26"/>
    <mergeCell ref="I25:I26"/>
    <mergeCell ref="J25:J27"/>
    <mergeCell ref="K25:K26"/>
    <mergeCell ref="L25:L27"/>
    <mergeCell ref="A25:A28"/>
    <mergeCell ref="B25:B27"/>
    <mergeCell ref="C25:C27"/>
    <mergeCell ref="D25:D27"/>
    <mergeCell ref="E25:E26"/>
    <mergeCell ref="F25:F26"/>
    <mergeCell ref="L33:L35"/>
    <mergeCell ref="M33:M34"/>
    <mergeCell ref="N33:N35"/>
    <mergeCell ref="O33:O35"/>
    <mergeCell ref="P33:P35"/>
    <mergeCell ref="A38:P38"/>
    <mergeCell ref="F33:F34"/>
    <mergeCell ref="G33:G34"/>
    <mergeCell ref="H33:H34"/>
    <mergeCell ref="I33:I34"/>
    <mergeCell ref="J33:J35"/>
    <mergeCell ref="K33:K34"/>
    <mergeCell ref="B45:C45"/>
    <mergeCell ref="B46:C46"/>
    <mergeCell ref="B47:C47"/>
    <mergeCell ref="B48:C48"/>
    <mergeCell ref="A49:O49"/>
    <mergeCell ref="B50:C50"/>
    <mergeCell ref="A39:O39"/>
    <mergeCell ref="B40:C40"/>
    <mergeCell ref="B41:C41"/>
    <mergeCell ref="B42:C42"/>
    <mergeCell ref="A43:P43"/>
    <mergeCell ref="B44:C44"/>
    <mergeCell ref="B57:C57"/>
    <mergeCell ref="B58:C58"/>
    <mergeCell ref="B59:C59"/>
    <mergeCell ref="D59:D62"/>
    <mergeCell ref="E59:E62"/>
    <mergeCell ref="F59:F62"/>
    <mergeCell ref="B51:C51"/>
    <mergeCell ref="B52:C52"/>
    <mergeCell ref="B53:C53"/>
    <mergeCell ref="A54:P54"/>
    <mergeCell ref="B55:C55"/>
    <mergeCell ref="B56:C56"/>
    <mergeCell ref="B63:C63"/>
    <mergeCell ref="B64:C64"/>
    <mergeCell ref="A65:P65"/>
    <mergeCell ref="A66:C66"/>
    <mergeCell ref="A67:C67"/>
    <mergeCell ref="A68:C68"/>
    <mergeCell ref="M59:M62"/>
    <mergeCell ref="N59:N62"/>
    <mergeCell ref="O59:O62"/>
    <mergeCell ref="P59:P62"/>
    <mergeCell ref="B60:C60"/>
    <mergeCell ref="B61:C61"/>
    <mergeCell ref="B62:C62"/>
    <mergeCell ref="G59:G62"/>
    <mergeCell ref="H59:H62"/>
    <mergeCell ref="I59:I62"/>
    <mergeCell ref="J59:J62"/>
    <mergeCell ref="K59:K62"/>
    <mergeCell ref="L59:L62"/>
    <mergeCell ref="A76:N76"/>
    <mergeCell ref="A77:O77"/>
    <mergeCell ref="A78:N78"/>
    <mergeCell ref="A70:C70"/>
    <mergeCell ref="A71:O71"/>
    <mergeCell ref="A72:C72"/>
    <mergeCell ref="A73:O73"/>
    <mergeCell ref="A74:O74"/>
    <mergeCell ref="A75:C75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0"/>
  <sheetViews>
    <sheetView zoomScale="180" zoomScaleNormal="180" workbookViewId="0">
      <selection activeCell="R11" sqref="R11"/>
    </sheetView>
  </sheetViews>
  <sheetFormatPr defaultColWidth="9.140625" defaultRowHeight="12.75" x14ac:dyDescent="0.2"/>
  <cols>
    <col min="1" max="1" width="73.28515625" style="2" customWidth="1"/>
    <col min="2" max="3" width="6.7109375" style="2" hidden="1" customWidth="1"/>
    <col min="4" max="4" width="6.85546875" style="2" hidden="1" customWidth="1"/>
    <col min="5" max="5" width="9.7109375" style="2" hidden="1" customWidth="1"/>
    <col min="6" max="6" width="9.42578125" style="2" hidden="1" customWidth="1"/>
    <col min="7" max="7" width="8.28515625" style="2" hidden="1" customWidth="1"/>
    <col min="8" max="9" width="9.42578125" style="2" hidden="1" customWidth="1"/>
    <col min="10" max="10" width="11" style="2" hidden="1" customWidth="1"/>
    <col min="11" max="11" width="9.42578125" style="2" hidden="1" customWidth="1"/>
    <col min="12" max="12" width="9.5703125" style="2" hidden="1" customWidth="1"/>
    <col min="13" max="13" width="9.42578125" style="2" hidden="1" customWidth="1"/>
    <col min="14" max="14" width="9.5703125" style="2" hidden="1" customWidth="1"/>
    <col min="15" max="15" width="16.5703125" style="2" hidden="1" customWidth="1"/>
    <col min="16" max="16" width="16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5" customHeight="1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5.6" customHeight="1" x14ac:dyDescent="0.2">
      <c r="A4" s="154" t="s">
        <v>99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</row>
    <row r="5" spans="1:16" ht="14.25" hidden="1" x14ac:dyDescent="0.2">
      <c r="A5" s="69" t="s">
        <v>0</v>
      </c>
      <c r="B5" s="15"/>
      <c r="C5" s="15"/>
      <c r="D5" s="15"/>
      <c r="E5" s="15">
        <v>6307.46</v>
      </c>
      <c r="F5" s="15" t="s">
        <v>1</v>
      </c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5" hidden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/>
      <c r="P6" s="16"/>
    </row>
    <row r="7" spans="1:16" ht="90" customHeight="1" x14ac:dyDescent="0.2">
      <c r="A7" s="157" t="s">
        <v>2</v>
      </c>
      <c r="B7" s="158" t="s">
        <v>3</v>
      </c>
      <c r="C7" s="158" t="s">
        <v>4</v>
      </c>
      <c r="D7" s="158" t="s">
        <v>5</v>
      </c>
      <c r="E7" s="161" t="s">
        <v>6</v>
      </c>
      <c r="F7" s="163" t="s">
        <v>7</v>
      </c>
      <c r="G7" s="165" t="s">
        <v>8</v>
      </c>
      <c r="H7" s="165" t="s">
        <v>9</v>
      </c>
      <c r="I7" s="165" t="s">
        <v>10</v>
      </c>
      <c r="J7" s="158" t="s">
        <v>11</v>
      </c>
      <c r="K7" s="158" t="s">
        <v>12</v>
      </c>
      <c r="L7" s="167" t="s">
        <v>90</v>
      </c>
      <c r="M7" s="158" t="s">
        <v>14</v>
      </c>
      <c r="N7" s="167" t="s">
        <v>34</v>
      </c>
      <c r="O7" s="141" t="s">
        <v>16</v>
      </c>
      <c r="P7" s="141" t="s">
        <v>134</v>
      </c>
    </row>
    <row r="8" spans="1:16" hidden="1" x14ac:dyDescent="0.2">
      <c r="A8" s="157"/>
      <c r="B8" s="159"/>
      <c r="C8" s="159"/>
      <c r="D8" s="159"/>
      <c r="E8" s="162"/>
      <c r="F8" s="164"/>
      <c r="G8" s="166"/>
      <c r="H8" s="177"/>
      <c r="I8" s="177"/>
      <c r="J8" s="159"/>
      <c r="K8" s="159"/>
      <c r="L8" s="168"/>
      <c r="M8" s="159"/>
      <c r="N8" s="168"/>
      <c r="O8" s="142"/>
      <c r="P8" s="142"/>
    </row>
    <row r="9" spans="1:16" ht="15" hidden="1" x14ac:dyDescent="0.2">
      <c r="A9" s="157"/>
      <c r="B9" s="160"/>
      <c r="C9" s="160"/>
      <c r="D9" s="160"/>
      <c r="E9" s="18">
        <v>12792</v>
      </c>
      <c r="F9" s="19">
        <v>0.30280000000000001</v>
      </c>
      <c r="G9" s="50">
        <v>2.2599999999999999E-2</v>
      </c>
      <c r="H9" s="21">
        <v>2.7E-2</v>
      </c>
      <c r="I9" s="21">
        <v>0.47499999999999998</v>
      </c>
      <c r="J9" s="160"/>
      <c r="K9" s="22">
        <v>3.0000000000000001E-3</v>
      </c>
      <c r="L9" s="169"/>
      <c r="M9" s="23">
        <v>0.2</v>
      </c>
      <c r="N9" s="169"/>
      <c r="O9" s="143"/>
      <c r="P9" s="143"/>
    </row>
    <row r="10" spans="1:16" ht="14.25" hidden="1" x14ac:dyDescent="0.2">
      <c r="A10" s="157"/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14</v>
      </c>
    </row>
    <row r="11" spans="1:16" ht="15" x14ac:dyDescent="0.25">
      <c r="A11" s="170" t="s">
        <v>17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71"/>
    </row>
    <row r="12" spans="1:16" ht="36" customHeight="1" x14ac:dyDescent="0.2">
      <c r="A12" s="26" t="s">
        <v>111</v>
      </c>
      <c r="B12" s="27" t="s">
        <v>18</v>
      </c>
      <c r="C12" s="27" t="s">
        <v>18</v>
      </c>
      <c r="D12" s="27">
        <f>SUM(D13:D15)</f>
        <v>0.25697560015741838</v>
      </c>
      <c r="E12" s="27">
        <f t="shared" ref="E12:O12" si="0">SUM(E13:E15)</f>
        <v>39446.782526564348</v>
      </c>
      <c r="F12" s="27">
        <f t="shared" si="0"/>
        <v>11944.485749043684</v>
      </c>
      <c r="G12" s="27">
        <f t="shared" si="0"/>
        <v>891.49728510035425</v>
      </c>
      <c r="H12" s="27">
        <f t="shared" si="0"/>
        <v>1065.0631282172374</v>
      </c>
      <c r="I12" s="27">
        <f t="shared" si="0"/>
        <v>18737.221700118062</v>
      </c>
      <c r="J12" s="27">
        <f t="shared" si="0"/>
        <v>72085.050389043681</v>
      </c>
      <c r="K12" s="27">
        <f t="shared" si="0"/>
        <v>216.25515116713106</v>
      </c>
      <c r="L12" s="27">
        <f t="shared" si="0"/>
        <v>72301.305540210815</v>
      </c>
      <c r="M12" s="27">
        <f t="shared" si="0"/>
        <v>14460.261108042165</v>
      </c>
      <c r="N12" s="27">
        <f t="shared" si="0"/>
        <v>86761.566648252978</v>
      </c>
      <c r="O12" s="27">
        <f t="shared" si="0"/>
        <v>1.1462824265268559</v>
      </c>
      <c r="P12" s="27">
        <f>(1.15*1.055)*1.045</f>
        <v>1.2678462499999998</v>
      </c>
    </row>
    <row r="13" spans="1:16" ht="15" x14ac:dyDescent="0.25">
      <c r="A13" s="28" t="s">
        <v>19</v>
      </c>
      <c r="B13" s="29">
        <f>'[4]4 категория'!V50</f>
        <v>340</v>
      </c>
      <c r="C13" s="29">
        <v>3630</v>
      </c>
      <c r="D13" s="30">
        <f>B13/C13</f>
        <v>9.366391184573003E-2</v>
      </c>
      <c r="E13" s="30">
        <f>D13*$E$9*12</f>
        <v>14377.785123966944</v>
      </c>
      <c r="F13" s="31">
        <f>E13*$F$9</f>
        <v>4353.5933355371908</v>
      </c>
      <c r="G13" s="31">
        <f>E13*$G$9</f>
        <v>324.93794380165292</v>
      </c>
      <c r="H13" s="31">
        <f>E13*$H$9</f>
        <v>388.20019834710746</v>
      </c>
      <c r="I13" s="31">
        <f>E13*$I$9</f>
        <v>6829.4479338842975</v>
      </c>
      <c r="J13" s="31">
        <f>SUM(E13:I13)</f>
        <v>26273.964535537194</v>
      </c>
      <c r="K13" s="31">
        <f>J13*$K$9</f>
        <v>78.821893606611582</v>
      </c>
      <c r="L13" s="32">
        <f>SUM(J13:K13)</f>
        <v>26352.786429143805</v>
      </c>
      <c r="M13" s="31">
        <f>L13*$M$9</f>
        <v>5270.5572858287615</v>
      </c>
      <c r="N13" s="32">
        <f>SUM(L13:M13)</f>
        <v>31623.343714972565</v>
      </c>
      <c r="O13" s="31">
        <f>N13/$E$5/12</f>
        <v>0.4178034649311102</v>
      </c>
      <c r="P13" s="27">
        <f>0.45*1.045</f>
        <v>0.47025</v>
      </c>
    </row>
    <row r="14" spans="1:16" ht="15" x14ac:dyDescent="0.25">
      <c r="A14" s="28" t="s">
        <v>20</v>
      </c>
      <c r="B14" s="29">
        <f>'[4]4 категория'!W50</f>
        <v>503</v>
      </c>
      <c r="C14" s="29">
        <v>3080</v>
      </c>
      <c r="D14" s="30">
        <f t="shared" ref="D14:D15" si="1">B14/C14</f>
        <v>0.16331168831168832</v>
      </c>
      <c r="E14" s="30">
        <f>D14*$E$9*12</f>
        <v>25068.997402597401</v>
      </c>
      <c r="F14" s="31">
        <f t="shared" ref="F14:F15" si="2">E14*$F$9</f>
        <v>7590.8924135064935</v>
      </c>
      <c r="G14" s="31">
        <f t="shared" ref="G14:G15" si="3">E14*$G$9</f>
        <v>566.55934129870127</v>
      </c>
      <c r="H14" s="31">
        <f t="shared" ref="H14:H15" si="4">E14*$H$9</f>
        <v>676.86292987012985</v>
      </c>
      <c r="I14" s="31">
        <f t="shared" ref="I14:I15" si="5">E14*$I$9</f>
        <v>11907.773766233764</v>
      </c>
      <c r="J14" s="31">
        <f t="shared" ref="J14:J15" si="6">SUM(E14:I14)</f>
        <v>45811.085853506491</v>
      </c>
      <c r="K14" s="31">
        <f t="shared" ref="K14:K15" si="7">J14*$K$9</f>
        <v>137.43325756051948</v>
      </c>
      <c r="L14" s="32">
        <f t="shared" ref="L14:L15" si="8">SUM(J14:K14)</f>
        <v>45948.519111067013</v>
      </c>
      <c r="M14" s="31">
        <f t="shared" ref="M14:M15" si="9">L14*$M$9</f>
        <v>9189.7038222134033</v>
      </c>
      <c r="N14" s="32">
        <f t="shared" ref="N14:N15" si="10">SUM(L14:M14)</f>
        <v>55138.222933280413</v>
      </c>
      <c r="O14" s="31">
        <f>N14/$E$5/12</f>
        <v>0.72847896159574554</v>
      </c>
      <c r="P14" s="27">
        <f>(0.73*1.055)*1.045</f>
        <v>0.80480674999999979</v>
      </c>
    </row>
    <row r="15" spans="1:16" ht="15" x14ac:dyDescent="0.25">
      <c r="A15" s="28" t="s">
        <v>21</v>
      </c>
      <c r="B15" s="29">
        <f>'[4]4 категория'!X50</f>
        <v>0</v>
      </c>
      <c r="C15" s="29">
        <v>2500</v>
      </c>
      <c r="D15" s="30">
        <f t="shared" si="1"/>
        <v>0</v>
      </c>
      <c r="E15" s="30">
        <f>D15*$E$9*12</f>
        <v>0</v>
      </c>
      <c r="F15" s="31">
        <f t="shared" si="2"/>
        <v>0</v>
      </c>
      <c r="G15" s="31">
        <f t="shared" si="3"/>
        <v>0</v>
      </c>
      <c r="H15" s="31">
        <f t="shared" si="4"/>
        <v>0</v>
      </c>
      <c r="I15" s="31">
        <f t="shared" si="5"/>
        <v>0</v>
      </c>
      <c r="J15" s="31">
        <f t="shared" si="6"/>
        <v>0</v>
      </c>
      <c r="K15" s="31">
        <f t="shared" si="7"/>
        <v>0</v>
      </c>
      <c r="L15" s="32">
        <f t="shared" si="8"/>
        <v>0</v>
      </c>
      <c r="M15" s="31">
        <f t="shared" si="9"/>
        <v>0</v>
      </c>
      <c r="N15" s="32">
        <f t="shared" si="10"/>
        <v>0</v>
      </c>
      <c r="O15" s="31">
        <f>N15/$E$5/12</f>
        <v>0</v>
      </c>
      <c r="P15" s="27">
        <f>(O15*1.04)*1.055</f>
        <v>0</v>
      </c>
    </row>
    <row r="16" spans="1:16" ht="15.75" customHeight="1" x14ac:dyDescent="0.25">
      <c r="A16" s="26" t="s">
        <v>96</v>
      </c>
      <c r="B16" s="29">
        <f>'[4]4 категория'!T50</f>
        <v>1682</v>
      </c>
      <c r="C16" s="29">
        <v>30000</v>
      </c>
      <c r="D16" s="31">
        <f>B16/C16</f>
        <v>5.6066666666666667E-2</v>
      </c>
      <c r="E16" s="30">
        <f>$E$9*D16*12</f>
        <v>8606.4575999999997</v>
      </c>
      <c r="F16" s="31">
        <f>E16*$F$9</f>
        <v>2606.03536128</v>
      </c>
      <c r="G16" s="31">
        <f>E16*$G$9</f>
        <v>194.50594175999998</v>
      </c>
      <c r="H16" s="31">
        <f>E16*$H$9</f>
        <v>232.3743552</v>
      </c>
      <c r="I16" s="31">
        <f>E16*$I$9</f>
        <v>4088.0673599999996</v>
      </c>
      <c r="J16" s="31">
        <f>E16+F16+G16+H16+I16</f>
        <v>15727.44061824</v>
      </c>
      <c r="K16" s="31">
        <f>J16*$K$9</f>
        <v>47.182321854720001</v>
      </c>
      <c r="L16" s="32">
        <f>J16+K16</f>
        <v>15774.62294009472</v>
      </c>
      <c r="M16" s="31">
        <f>L16*$M$9</f>
        <v>3154.9245880189442</v>
      </c>
      <c r="N16" s="32">
        <f>L16+M16</f>
        <v>18929.547528113664</v>
      </c>
      <c r="O16" s="31">
        <f>N16/$E$5/12</f>
        <v>0.25009469644032178</v>
      </c>
      <c r="P16" s="27">
        <f>(0.24*1.055)*1.045</f>
        <v>0.26459399999999994</v>
      </c>
    </row>
    <row r="17" spans="1:16" ht="35.25" customHeight="1" x14ac:dyDescent="0.25">
      <c r="A17" s="28" t="s">
        <v>110</v>
      </c>
      <c r="B17" s="29">
        <f>'[4]4 категория'!U50</f>
        <v>1541</v>
      </c>
      <c r="C17" s="29">
        <v>10000</v>
      </c>
      <c r="D17" s="31">
        <f>B17/C17</f>
        <v>0.15409999999999999</v>
      </c>
      <c r="E17" s="30">
        <f>$E$9*D17*12</f>
        <v>23654.966399999998</v>
      </c>
      <c r="F17" s="31">
        <f>E17*$F$9</f>
        <v>7162.7238259199994</v>
      </c>
      <c r="G17" s="31">
        <f>E17*$G$9</f>
        <v>534.60224063999988</v>
      </c>
      <c r="H17" s="31">
        <f>E17*$H$9</f>
        <v>638.68409279999992</v>
      </c>
      <c r="I17" s="31">
        <f>E17*$I$9</f>
        <v>11236.109039999998</v>
      </c>
      <c r="J17" s="31">
        <f>E17+F17+G17+H17+I17</f>
        <v>43227.085599359991</v>
      </c>
      <c r="K17" s="31">
        <f>J17*$K$9</f>
        <v>129.68125679807997</v>
      </c>
      <c r="L17" s="32">
        <f>J17+K17</f>
        <v>43356.766856158072</v>
      </c>
      <c r="M17" s="31">
        <f>L17*$M$9</f>
        <v>8671.3533712316148</v>
      </c>
      <c r="N17" s="32">
        <f>L17+M17</f>
        <v>52028.120227389685</v>
      </c>
      <c r="O17" s="31">
        <f>N17/$E$5/12</f>
        <v>0.68738869301046812</v>
      </c>
      <c r="P17" s="27">
        <f>(0.73*1.055)*1.045</f>
        <v>0.80480674999999979</v>
      </c>
    </row>
    <row r="18" spans="1:16" ht="15" x14ac:dyDescent="0.2">
      <c r="A18" s="33" t="s">
        <v>22</v>
      </c>
      <c r="B18" s="32"/>
      <c r="C18" s="32"/>
      <c r="D18" s="32">
        <f>SUM(D13:D17)</f>
        <v>0.467142266824085</v>
      </c>
      <c r="E18" s="32">
        <f>SUM(E13:E17)</f>
        <v>71708.206526564347</v>
      </c>
      <c r="F18" s="32">
        <f t="shared" ref="F18:O18" si="11">SUM(F13:F17)</f>
        <v>21713.244936243682</v>
      </c>
      <c r="G18" s="32">
        <f t="shared" si="11"/>
        <v>1620.6054675003543</v>
      </c>
      <c r="H18" s="32">
        <f t="shared" si="11"/>
        <v>1936.1215762172374</v>
      </c>
      <c r="I18" s="32">
        <f t="shared" si="11"/>
        <v>34061.398100118058</v>
      </c>
      <c r="J18" s="32">
        <f t="shared" si="11"/>
        <v>131039.57660664368</v>
      </c>
      <c r="K18" s="32">
        <f t="shared" si="11"/>
        <v>393.11872981993105</v>
      </c>
      <c r="L18" s="32">
        <f t="shared" si="11"/>
        <v>131432.6953364636</v>
      </c>
      <c r="M18" s="32">
        <f t="shared" si="11"/>
        <v>26286.539067292724</v>
      </c>
      <c r="N18" s="32">
        <f t="shared" si="11"/>
        <v>157719.23440375633</v>
      </c>
      <c r="O18" s="32">
        <f t="shared" si="11"/>
        <v>2.0837658159776455</v>
      </c>
      <c r="P18" s="27">
        <f>P13+P14+P16+P17</f>
        <v>2.3444574999999999</v>
      </c>
    </row>
    <row r="19" spans="1:16" ht="15" x14ac:dyDescent="0.25">
      <c r="A19" s="172" t="s">
        <v>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34"/>
    </row>
    <row r="20" spans="1:16" ht="45" x14ac:dyDescent="0.25">
      <c r="A20" s="28" t="s">
        <v>24</v>
      </c>
      <c r="B20" s="29">
        <f>'[4]4 категория'!N50</f>
        <v>295</v>
      </c>
      <c r="C20" s="29"/>
      <c r="D20" s="32">
        <v>0.46</v>
      </c>
      <c r="E20" s="30">
        <f>E9*D20*12</f>
        <v>70611.840000000011</v>
      </c>
      <c r="F20" s="31">
        <f>E20*F9</f>
        <v>21381.265152000004</v>
      </c>
      <c r="G20" s="31">
        <f>E20*G9</f>
        <v>1595.8275840000001</v>
      </c>
      <c r="H20" s="31">
        <f>E20*H9</f>
        <v>1906.5196800000003</v>
      </c>
      <c r="I20" s="31">
        <f>E20*I9</f>
        <v>33540.624000000003</v>
      </c>
      <c r="J20" s="31">
        <f>E20+F20+G20+H20+I20</f>
        <v>129036.07641600003</v>
      </c>
      <c r="K20" s="31">
        <f>J20*K9</f>
        <v>387.1082292480001</v>
      </c>
      <c r="L20" s="31">
        <f>J20+K20</f>
        <v>129423.18464524802</v>
      </c>
      <c r="M20" s="31">
        <f>L20*M9</f>
        <v>25884.636929049608</v>
      </c>
      <c r="N20" s="32">
        <f>L20+M20</f>
        <v>155307.82157429762</v>
      </c>
      <c r="O20" s="31">
        <f>N20/$E$5/12</f>
        <v>2.0519065462999055</v>
      </c>
      <c r="P20" s="31">
        <f>2.18*1.045</f>
        <v>2.2780999999999998</v>
      </c>
    </row>
    <row r="21" spans="1:16" ht="15" x14ac:dyDescent="0.25">
      <c r="A21" s="33" t="s">
        <v>26</v>
      </c>
      <c r="B21" s="36"/>
      <c r="C21" s="36"/>
      <c r="D21" s="36"/>
      <c r="E21" s="35">
        <f>E18+E20</f>
        <v>142320.04652656434</v>
      </c>
      <c r="F21" s="35">
        <f t="shared" ref="F21:O21" si="12">F18+F20</f>
        <v>43094.510088243682</v>
      </c>
      <c r="G21" s="35">
        <f t="shared" si="12"/>
        <v>3216.4330515003544</v>
      </c>
      <c r="H21" s="35">
        <f t="shared" si="12"/>
        <v>3842.6412562172377</v>
      </c>
      <c r="I21" s="35">
        <f t="shared" si="12"/>
        <v>67602.022100118062</v>
      </c>
      <c r="J21" s="35">
        <f t="shared" si="12"/>
        <v>260075.6530226437</v>
      </c>
      <c r="K21" s="35">
        <f t="shared" si="12"/>
        <v>780.22695906793115</v>
      </c>
      <c r="L21" s="35">
        <f t="shared" si="12"/>
        <v>260855.87998171162</v>
      </c>
      <c r="M21" s="35">
        <f t="shared" si="12"/>
        <v>52171.175996342332</v>
      </c>
      <c r="N21" s="35">
        <f t="shared" si="12"/>
        <v>313027.05597805395</v>
      </c>
      <c r="O21" s="35">
        <f t="shared" si="12"/>
        <v>4.1356723622775515</v>
      </c>
      <c r="P21" s="31">
        <f>P18+P20</f>
        <v>4.6225574999999992</v>
      </c>
    </row>
    <row r="22" spans="1:16" ht="14.1" x14ac:dyDescent="0.3">
      <c r="A22" s="39"/>
      <c r="B22" s="40"/>
      <c r="C22" s="40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</row>
    <row r="23" spans="1:16" ht="14.25" hidden="1" x14ac:dyDescent="0.2">
      <c r="A23" s="39"/>
      <c r="B23" s="40"/>
      <c r="C23" s="40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</row>
    <row r="24" spans="1:16" ht="14.25" hidden="1" x14ac:dyDescent="0.2">
      <c r="A24" s="39"/>
      <c r="B24" s="40"/>
      <c r="C24" s="40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</row>
    <row r="25" spans="1:16" ht="12.6" hidden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161" t="s">
        <v>31</v>
      </c>
      <c r="F25" s="141" t="s">
        <v>7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87</v>
      </c>
      <c r="M25" s="158" t="s">
        <v>14</v>
      </c>
      <c r="N25" s="178" t="s">
        <v>34</v>
      </c>
      <c r="O25" s="144" t="s">
        <v>16</v>
      </c>
      <c r="P25" s="144" t="s">
        <v>16</v>
      </c>
    </row>
    <row r="26" spans="1:16" ht="58.5" hidden="1" customHeight="1" x14ac:dyDescent="0.25">
      <c r="A26" s="157"/>
      <c r="B26" s="185"/>
      <c r="C26" s="185"/>
      <c r="D26" s="186"/>
      <c r="E26" s="162"/>
      <c r="F26" s="142"/>
      <c r="G26" s="182"/>
      <c r="H26" s="159"/>
      <c r="I26" s="159"/>
      <c r="J26" s="183"/>
      <c r="K26" s="159"/>
      <c r="L26" s="184"/>
      <c r="M26" s="159"/>
      <c r="N26" s="178"/>
      <c r="O26" s="144"/>
      <c r="P26" s="144"/>
    </row>
    <row r="27" spans="1:16" ht="14.1" hidden="1" x14ac:dyDescent="0.25">
      <c r="A27" s="157"/>
      <c r="B27" s="185"/>
      <c r="C27" s="185"/>
      <c r="D27" s="186"/>
      <c r="E27" s="43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23">
        <v>0.2</v>
      </c>
      <c r="N27" s="178"/>
      <c r="O27" s="144"/>
      <c r="P27" s="144"/>
    </row>
    <row r="28" spans="1:16" ht="14.25" hidden="1" x14ac:dyDescent="0.2">
      <c r="A28" s="157"/>
      <c r="B28" s="46">
        <v>1</v>
      </c>
      <c r="C28" s="46">
        <v>2</v>
      </c>
      <c r="D28" s="46">
        <v>3</v>
      </c>
      <c r="E28" s="46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47">
        <v>12</v>
      </c>
      <c r="N28" s="46">
        <v>13</v>
      </c>
      <c r="O28" s="46">
        <v>14</v>
      </c>
      <c r="P28" s="46">
        <v>14</v>
      </c>
    </row>
    <row r="29" spans="1:16" ht="15" x14ac:dyDescent="0.25">
      <c r="A29" s="26" t="s">
        <v>114</v>
      </c>
      <c r="B29" s="29">
        <f>'[4]4 категория'!M50</f>
        <v>154</v>
      </c>
      <c r="C29" s="29">
        <v>2504</v>
      </c>
      <c r="D29" s="31">
        <f>B29/C29*0.2</f>
        <v>1.2300319488817893E-2</v>
      </c>
      <c r="E29" s="30">
        <f>D29*$E$27*12</f>
        <v>2320.9226837060705</v>
      </c>
      <c r="F29" s="31">
        <f>E29*$F$27</f>
        <v>702.77538862619815</v>
      </c>
      <c r="G29" s="31">
        <f>E29*$G$27</f>
        <v>52.45285265175719</v>
      </c>
      <c r="H29" s="31">
        <f>E29*$H$27</f>
        <v>62.664912460063903</v>
      </c>
      <c r="I29" s="31">
        <f>E29*$I$27</f>
        <v>1102.4382747603834</v>
      </c>
      <c r="J29" s="31">
        <f>SUM(E29:I29)</f>
        <v>4241.2541122044731</v>
      </c>
      <c r="K29" s="31">
        <f>J29*$K$27</f>
        <v>12.72376233661342</v>
      </c>
      <c r="L29" s="31">
        <f>SUM(J29:K29)</f>
        <v>4253.9778745410867</v>
      </c>
      <c r="M29" s="31">
        <f>L29*$M$27</f>
        <v>850.79557490821742</v>
      </c>
      <c r="N29" s="31">
        <f>SUM(L29:M29)</f>
        <v>5104.7734494493043</v>
      </c>
      <c r="O29" s="31">
        <f>N29/$E$5/12</f>
        <v>6.7443596543475301E-2</v>
      </c>
      <c r="P29" s="27">
        <f>((O29*1.04)*1.055)*1.045</f>
        <v>7.7329074263238637E-2</v>
      </c>
    </row>
    <row r="30" spans="1:16" ht="15" x14ac:dyDescent="0.25">
      <c r="A30" s="26" t="s">
        <v>115</v>
      </c>
      <c r="B30" s="48">
        <f>'[4]4 категория'!L50</f>
        <v>43</v>
      </c>
      <c r="C30" s="29">
        <v>2504</v>
      </c>
      <c r="D30" s="31">
        <f>B30/C30*0.59*4</f>
        <v>4.0527156549520764E-2</v>
      </c>
      <c r="E30" s="30">
        <f>D30*$E$27*12</f>
        <v>7646.9881150159736</v>
      </c>
      <c r="F30" s="31">
        <f>E30*$F$27</f>
        <v>2315.5080012268368</v>
      </c>
      <c r="G30" s="31">
        <f>E30*$G$27</f>
        <v>172.82193139936098</v>
      </c>
      <c r="H30" s="31">
        <f>E30*$H$27</f>
        <v>206.46867910543128</v>
      </c>
      <c r="I30" s="31">
        <f>E30*$I$27</f>
        <v>3632.3193546325874</v>
      </c>
      <c r="J30" s="31">
        <f>SUM(E30:I30)</f>
        <v>13974.106081380191</v>
      </c>
      <c r="K30" s="31">
        <f>J30*$K$27</f>
        <v>41.92231824414057</v>
      </c>
      <c r="L30" s="31">
        <f>SUM(J30:K30)</f>
        <v>14016.028399624331</v>
      </c>
      <c r="M30" s="31">
        <f>L30*$M$27</f>
        <v>2803.2056799248662</v>
      </c>
      <c r="N30" s="31">
        <f>SUM(L30:M30)</f>
        <v>16819.234079549198</v>
      </c>
      <c r="O30" s="31">
        <f>N30/$E$5/12</f>
        <v>0.22221351224778804</v>
      </c>
      <c r="P30" s="27">
        <f>((O30*1.04)*1.055)*1.045</f>
        <v>0.25478423559199531</v>
      </c>
    </row>
    <row r="31" spans="1:16" ht="15" x14ac:dyDescent="0.2">
      <c r="A31" s="33" t="s">
        <v>35</v>
      </c>
      <c r="B31" s="33"/>
      <c r="C31" s="33"/>
      <c r="D31" s="49">
        <f>SUM(D29:D30)</f>
        <v>5.2827476038338657E-2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49">
        <f>SUM(O29:O30)</f>
        <v>0.28965710879126333</v>
      </c>
      <c r="P31" s="27">
        <f>P29+P30</f>
        <v>0.33211330985523396</v>
      </c>
    </row>
    <row r="32" spans="1:16" ht="15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4"/>
    </row>
    <row r="33" spans="1:16" ht="12.6" hidden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161" t="s">
        <v>31</v>
      </c>
      <c r="F33" s="163" t="s">
        <v>7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90</v>
      </c>
      <c r="M33" s="158" t="s">
        <v>14</v>
      </c>
      <c r="N33" s="167" t="s">
        <v>34</v>
      </c>
      <c r="O33" s="141" t="s">
        <v>16</v>
      </c>
      <c r="P33" s="141" t="s">
        <v>16</v>
      </c>
    </row>
    <row r="34" spans="1:16" ht="58.5" hidden="1" customHeight="1" x14ac:dyDescent="0.25">
      <c r="A34" s="157"/>
      <c r="B34" s="159"/>
      <c r="C34" s="159"/>
      <c r="D34" s="159"/>
      <c r="E34" s="162"/>
      <c r="F34" s="164"/>
      <c r="G34" s="166"/>
      <c r="H34" s="177"/>
      <c r="I34" s="177"/>
      <c r="J34" s="159"/>
      <c r="K34" s="159"/>
      <c r="L34" s="168"/>
      <c r="M34" s="159"/>
      <c r="N34" s="168"/>
      <c r="O34" s="142"/>
      <c r="P34" s="142"/>
    </row>
    <row r="35" spans="1:16" ht="16.5" hidden="1" customHeight="1" x14ac:dyDescent="0.25">
      <c r="A35" s="157"/>
      <c r="B35" s="160"/>
      <c r="C35" s="160"/>
      <c r="D35" s="160"/>
      <c r="E35" s="18">
        <v>15458</v>
      </c>
      <c r="F35" s="19">
        <v>0.30280000000000001</v>
      </c>
      <c r="G35" s="50">
        <v>0.19400000000000001</v>
      </c>
      <c r="H35" s="104">
        <v>0.16</v>
      </c>
      <c r="I35" s="104">
        <v>0.47499999999999998</v>
      </c>
      <c r="J35" s="160"/>
      <c r="K35" s="22">
        <v>3.0000000000000001E-3</v>
      </c>
      <c r="L35" s="169"/>
      <c r="M35" s="23">
        <v>0.2</v>
      </c>
      <c r="N35" s="169"/>
      <c r="O35" s="143"/>
      <c r="P35" s="143"/>
    </row>
    <row r="36" spans="1:16" ht="14.25" hidden="1" x14ac:dyDescent="0.2">
      <c r="A36" s="157"/>
      <c r="B36" s="24">
        <v>1</v>
      </c>
      <c r="C36" s="24">
        <v>2</v>
      </c>
      <c r="D36" s="24">
        <v>3</v>
      </c>
      <c r="E36" s="24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24">
        <v>12</v>
      </c>
      <c r="N36" s="24">
        <v>13</v>
      </c>
      <c r="O36" s="24">
        <v>14</v>
      </c>
      <c r="P36" s="24">
        <v>14</v>
      </c>
    </row>
    <row r="37" spans="1:16" ht="15" x14ac:dyDescent="0.25">
      <c r="A37" s="51" t="s">
        <v>91</v>
      </c>
      <c r="B37" s="52" t="s">
        <v>18</v>
      </c>
      <c r="C37" s="52" t="s">
        <v>18</v>
      </c>
      <c r="D37" s="53">
        <f>'[4]4 категория'!K50*64%</f>
        <v>0.30719999999999997</v>
      </c>
      <c r="E37" s="52">
        <f>D37*E35*12</f>
        <v>56984.371199999994</v>
      </c>
      <c r="F37" s="52">
        <f>E37*$F$35</f>
        <v>17254.867599359997</v>
      </c>
      <c r="G37" s="52">
        <f>E37*$G$35</f>
        <v>11054.9680128</v>
      </c>
      <c r="H37" s="52">
        <f>E37*$H$35</f>
        <v>9117.4993919999997</v>
      </c>
      <c r="I37" s="52">
        <f>E37*$I$35</f>
        <v>27067.576319999996</v>
      </c>
      <c r="J37" s="52">
        <f>SUM(E37:I37)</f>
        <v>121479.28252415999</v>
      </c>
      <c r="K37" s="52">
        <f>J37*$K$35</f>
        <v>364.43784757248</v>
      </c>
      <c r="L37" s="52">
        <f>SUM(J37:K37)</f>
        <v>121843.72037173247</v>
      </c>
      <c r="M37" s="52">
        <f>L37*$M$35</f>
        <v>24368.744074346498</v>
      </c>
      <c r="N37" s="52">
        <f>SUM(L37:M37)</f>
        <v>146212.46444607899</v>
      </c>
      <c r="O37" s="52">
        <f>N37/$E$5/12</f>
        <v>1.9317398821670289</v>
      </c>
      <c r="P37" s="27">
        <f>((O37*1.04)*1.055)*1.045</f>
        <v>2.2148827236557791</v>
      </c>
    </row>
    <row r="38" spans="1:16" ht="15" x14ac:dyDescent="0.25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34"/>
    </row>
    <row r="39" spans="1:16" ht="12.75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71"/>
    </row>
    <row r="40" spans="1:16" ht="15" x14ac:dyDescent="0.25">
      <c r="A40" s="55" t="s">
        <v>41</v>
      </c>
      <c r="B40" s="187" t="s">
        <v>42</v>
      </c>
      <c r="C40" s="188"/>
      <c r="D40" s="59">
        <v>0.17699999999999999</v>
      </c>
      <c r="E40" s="52">
        <f>D40*$E$35*12</f>
        <v>32832.792000000001</v>
      </c>
      <c r="F40" s="52">
        <f>E40*$F$35</f>
        <v>9941.7694176000005</v>
      </c>
      <c r="G40" s="52">
        <f>E40*$G$35</f>
        <v>6369.5616480000008</v>
      </c>
      <c r="H40" s="52">
        <f>E40*$H$35</f>
        <v>5253.2467200000001</v>
      </c>
      <c r="I40" s="52">
        <f>E40*$I$35</f>
        <v>15595.5762</v>
      </c>
      <c r="J40" s="52">
        <f>SUM(E40:I40)</f>
        <v>69992.945985600003</v>
      </c>
      <c r="K40" s="52">
        <f>J40*$K$35</f>
        <v>209.97883795680002</v>
      </c>
      <c r="L40" s="52">
        <f>SUM(J40:K40)</f>
        <v>70202.924823556808</v>
      </c>
      <c r="M40" s="52">
        <f>L40*$M$35</f>
        <v>14040.584964711363</v>
      </c>
      <c r="N40" s="52">
        <f>SUM(L40:M40)</f>
        <v>84243.509788268173</v>
      </c>
      <c r="O40" s="52">
        <f>N40/$E$5/12</f>
        <v>1.1130141899204562</v>
      </c>
      <c r="P40" s="27">
        <v>1.27</v>
      </c>
    </row>
    <row r="41" spans="1:16" ht="15" x14ac:dyDescent="0.25">
      <c r="A41" s="55" t="s">
        <v>43</v>
      </c>
      <c r="B41" s="187" t="s">
        <v>42</v>
      </c>
      <c r="C41" s="188"/>
      <c r="D41" s="55">
        <v>1.5599999999999999E-2</v>
      </c>
      <c r="E41" s="52">
        <f>D41*$E$35*12</f>
        <v>2893.7375999999995</v>
      </c>
      <c r="F41" s="52">
        <f t="shared" ref="F41:F42" si="13">E41*$F$35</f>
        <v>876.22374527999989</v>
      </c>
      <c r="G41" s="52">
        <f t="shared" ref="G41:G42" si="14">E41*$G$35</f>
        <v>561.38509439999996</v>
      </c>
      <c r="H41" s="52">
        <f t="shared" ref="H41:H42" si="15">E41*$H$35</f>
        <v>462.99801599999995</v>
      </c>
      <c r="I41" s="52">
        <f t="shared" ref="I41:I42" si="16">E41*$I$35</f>
        <v>1374.5253599999996</v>
      </c>
      <c r="J41" s="52">
        <f t="shared" ref="J41:J42" si="17">SUM(E41:I41)</f>
        <v>6168.8698156799983</v>
      </c>
      <c r="K41" s="52">
        <f t="shared" ref="K41:K42" si="18">J41*$K$35</f>
        <v>18.506609447039995</v>
      </c>
      <c r="L41" s="52">
        <f t="shared" ref="L41:L42" si="19">SUM(J41:K41)</f>
        <v>6187.3764251270386</v>
      </c>
      <c r="M41" s="52">
        <f t="shared" ref="M41:M42" si="20">L41*$M$35</f>
        <v>1237.4752850254079</v>
      </c>
      <c r="N41" s="52">
        <f t="shared" ref="N41:N42" si="21">SUM(L41:M41)</f>
        <v>7424.8517101524467</v>
      </c>
      <c r="O41" s="52">
        <f t="shared" ref="O41:O42" si="22">N41/$E$5/12</f>
        <v>9.8096165891294426E-2</v>
      </c>
      <c r="P41" s="27">
        <f>((O41*1.04)*1.055)*1.045</f>
        <v>0.11247451331064499</v>
      </c>
    </row>
    <row r="42" spans="1:16" ht="15" x14ac:dyDescent="0.25">
      <c r="A42" s="58" t="s">
        <v>44</v>
      </c>
      <c r="B42" s="187" t="s">
        <v>30</v>
      </c>
      <c r="C42" s="188"/>
      <c r="D42" s="59">
        <v>1.2999999999999999E-2</v>
      </c>
      <c r="E42" s="52">
        <f>D42*$E$35*12</f>
        <v>2411.4479999999999</v>
      </c>
      <c r="F42" s="52">
        <f t="shared" si="13"/>
        <v>730.1864544</v>
      </c>
      <c r="G42" s="52">
        <f t="shared" si="14"/>
        <v>467.82091199999996</v>
      </c>
      <c r="H42" s="52">
        <f t="shared" si="15"/>
        <v>385.83168000000001</v>
      </c>
      <c r="I42" s="52">
        <f t="shared" si="16"/>
        <v>1145.4377999999999</v>
      </c>
      <c r="J42" s="52">
        <f t="shared" si="17"/>
        <v>5140.7248463999995</v>
      </c>
      <c r="K42" s="52">
        <f t="shared" si="18"/>
        <v>15.422174539199998</v>
      </c>
      <c r="L42" s="52">
        <f t="shared" si="19"/>
        <v>5156.1470209391991</v>
      </c>
      <c r="M42" s="52">
        <f t="shared" si="20"/>
        <v>1031.2294041878399</v>
      </c>
      <c r="N42" s="52">
        <f t="shared" si="21"/>
        <v>6187.3764251270386</v>
      </c>
      <c r="O42" s="52">
        <f t="shared" si="22"/>
        <v>8.174680490941201E-2</v>
      </c>
      <c r="P42" s="27">
        <f>((O42*1.04)*1.055)*1.045</f>
        <v>9.3728761092204155E-2</v>
      </c>
    </row>
    <row r="43" spans="1:16" ht="12.75" customHeight="1" x14ac:dyDescent="0.25">
      <c r="A43" s="189" t="s">
        <v>45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52"/>
    </row>
    <row r="44" spans="1:16" ht="15" x14ac:dyDescent="0.25">
      <c r="A44" s="58" t="s">
        <v>46</v>
      </c>
      <c r="B44" s="187" t="s">
        <v>30</v>
      </c>
      <c r="C44" s="188"/>
      <c r="D44" s="59">
        <v>2E-3</v>
      </c>
      <c r="E44" s="52">
        <f>D44*$E$35*12</f>
        <v>370.99200000000002</v>
      </c>
      <c r="F44" s="52">
        <f>E44*$F$35</f>
        <v>112.33637760000001</v>
      </c>
      <c r="G44" s="52">
        <f>E44*$G$35</f>
        <v>71.972448</v>
      </c>
      <c r="H44" s="52">
        <f>E44*$H$35</f>
        <v>59.358720000000005</v>
      </c>
      <c r="I44" s="52">
        <f>E44*$I$35</f>
        <v>176.22120000000001</v>
      </c>
      <c r="J44" s="52">
        <f>SUM(E44:I44)</f>
        <v>790.88074559999995</v>
      </c>
      <c r="K44" s="52">
        <f>J44*$K$35</f>
        <v>2.3726422368</v>
      </c>
      <c r="L44" s="52">
        <f>SUM(J44:K44)</f>
        <v>793.2533878367999</v>
      </c>
      <c r="M44" s="52">
        <f>L44*$M$35</f>
        <v>158.65067756735999</v>
      </c>
      <c r="N44" s="52">
        <f>SUM(L44:M44)</f>
        <v>951.90406540415984</v>
      </c>
      <c r="O44" s="52">
        <f>N44/$E$5/12</f>
        <v>1.2576431524524924E-2</v>
      </c>
      <c r="P44" s="27">
        <f>((O44*1.04)*1.055)*1.045</f>
        <v>1.4419809398800639E-2</v>
      </c>
    </row>
    <row r="45" spans="1:16" ht="12.75" customHeight="1" x14ac:dyDescent="0.25">
      <c r="A45" s="58" t="s">
        <v>47</v>
      </c>
      <c r="B45" s="187" t="s">
        <v>30</v>
      </c>
      <c r="C45" s="188"/>
      <c r="D45" s="59">
        <v>3.0000000000000001E-3</v>
      </c>
      <c r="E45" s="52">
        <f t="shared" ref="E45:E48" si="23">D45*$E$35*12</f>
        <v>556.48800000000006</v>
      </c>
      <c r="F45" s="52">
        <f t="shared" ref="F45:F48" si="24">E45*$F$35</f>
        <v>168.50456640000002</v>
      </c>
      <c r="G45" s="52">
        <f t="shared" ref="G45:G48" si="25">E45*$G$35</f>
        <v>107.95867200000001</v>
      </c>
      <c r="H45" s="52">
        <f t="shared" ref="H45:H48" si="26">E45*$H$35</f>
        <v>89.038080000000008</v>
      </c>
      <c r="I45" s="52">
        <f t="shared" ref="I45:I48" si="27">E45*$I$35</f>
        <v>264.33179999999999</v>
      </c>
      <c r="J45" s="52">
        <f t="shared" ref="J45:J48" si="28">SUM(E45:I45)</f>
        <v>1186.3211184000002</v>
      </c>
      <c r="K45" s="52">
        <f t="shared" ref="K45:K48" si="29">J45*$K$35</f>
        <v>3.5589633552000004</v>
      </c>
      <c r="L45" s="52">
        <f t="shared" ref="L45:L48" si="30">SUM(J45:K45)</f>
        <v>1189.8800817552001</v>
      </c>
      <c r="M45" s="52">
        <f t="shared" ref="M45:M48" si="31">L45*$M$35</f>
        <v>237.97601635104002</v>
      </c>
      <c r="N45" s="52">
        <f t="shared" ref="N45:N48" si="32">SUM(L45:M45)</f>
        <v>1427.8560981062401</v>
      </c>
      <c r="O45" s="52">
        <f t="shared" ref="O45:O48" si="33">N45/$E$5/12</f>
        <v>1.8864647286787394E-2</v>
      </c>
      <c r="P45" s="27">
        <f>((O45*1.04)*1.055)*1.045</f>
        <v>2.1629714098200966E-2</v>
      </c>
    </row>
    <row r="46" spans="1:16" ht="15" x14ac:dyDescent="0.25">
      <c r="A46" s="58" t="s">
        <v>48</v>
      </c>
      <c r="B46" s="187" t="s">
        <v>30</v>
      </c>
      <c r="C46" s="188"/>
      <c r="D46" s="59">
        <v>1.0999999999999999E-2</v>
      </c>
      <c r="E46" s="52">
        <f t="shared" si="23"/>
        <v>2040.4559999999997</v>
      </c>
      <c r="F46" s="52">
        <f t="shared" si="24"/>
        <v>617.8500767999999</v>
      </c>
      <c r="G46" s="52">
        <f t="shared" si="25"/>
        <v>395.84846399999992</v>
      </c>
      <c r="H46" s="52">
        <f t="shared" si="26"/>
        <v>326.47295999999994</v>
      </c>
      <c r="I46" s="52">
        <f t="shared" si="27"/>
        <v>969.21659999999986</v>
      </c>
      <c r="J46" s="52">
        <f t="shared" si="28"/>
        <v>4349.8441007999991</v>
      </c>
      <c r="K46" s="52">
        <f t="shared" si="29"/>
        <v>13.049532302399998</v>
      </c>
      <c r="L46" s="52">
        <f t="shared" si="30"/>
        <v>4362.8936331023988</v>
      </c>
      <c r="M46" s="52">
        <f t="shared" si="31"/>
        <v>872.57872662047976</v>
      </c>
      <c r="N46" s="52">
        <f t="shared" si="32"/>
        <v>5235.4723597228785</v>
      </c>
      <c r="O46" s="52">
        <f t="shared" si="33"/>
        <v>6.9170373384887088E-2</v>
      </c>
      <c r="P46" s="27">
        <f>((O46*1.04)*1.055)*1.045</f>
        <v>7.9308951693403532E-2</v>
      </c>
    </row>
    <row r="47" spans="1:16" ht="15" x14ac:dyDescent="0.25">
      <c r="A47" s="58" t="s">
        <v>49</v>
      </c>
      <c r="B47" s="187" t="s">
        <v>30</v>
      </c>
      <c r="C47" s="188"/>
      <c r="D47" s="59">
        <v>4.0000000000000001E-3</v>
      </c>
      <c r="E47" s="52">
        <f t="shared" si="23"/>
        <v>741.98400000000004</v>
      </c>
      <c r="F47" s="52">
        <f t="shared" si="24"/>
        <v>224.67275520000001</v>
      </c>
      <c r="G47" s="52">
        <f t="shared" si="25"/>
        <v>143.944896</v>
      </c>
      <c r="H47" s="52">
        <f t="shared" si="26"/>
        <v>118.71744000000001</v>
      </c>
      <c r="I47" s="52">
        <f t="shared" si="27"/>
        <v>352.44240000000002</v>
      </c>
      <c r="J47" s="52">
        <f t="shared" si="28"/>
        <v>1581.7614911999999</v>
      </c>
      <c r="K47" s="52">
        <f t="shared" si="29"/>
        <v>4.7452844735999999</v>
      </c>
      <c r="L47" s="52">
        <f t="shared" si="30"/>
        <v>1586.5067756735998</v>
      </c>
      <c r="M47" s="52">
        <f t="shared" si="31"/>
        <v>317.30135513471998</v>
      </c>
      <c r="N47" s="52">
        <f t="shared" si="32"/>
        <v>1903.8081308083197</v>
      </c>
      <c r="O47" s="52">
        <f t="shared" si="33"/>
        <v>2.5152863049049849E-2</v>
      </c>
      <c r="P47" s="27">
        <f>((O47*1.04)*1.055)*1.045</f>
        <v>2.8839618797601278E-2</v>
      </c>
    </row>
    <row r="48" spans="1:16" ht="15" x14ac:dyDescent="0.25">
      <c r="A48" s="58" t="s">
        <v>50</v>
      </c>
      <c r="B48" s="187" t="s">
        <v>30</v>
      </c>
      <c r="C48" s="188"/>
      <c r="D48" s="59">
        <v>2.3E-2</v>
      </c>
      <c r="E48" s="52">
        <f t="shared" si="23"/>
        <v>4266.4079999999994</v>
      </c>
      <c r="F48" s="52">
        <f t="shared" si="24"/>
        <v>1291.8683423999998</v>
      </c>
      <c r="G48" s="52">
        <f t="shared" si="25"/>
        <v>827.68315199999995</v>
      </c>
      <c r="H48" s="52">
        <f t="shared" si="26"/>
        <v>682.62527999999998</v>
      </c>
      <c r="I48" s="52">
        <f t="shared" si="27"/>
        <v>2026.5437999999997</v>
      </c>
      <c r="J48" s="52">
        <f t="shared" si="28"/>
        <v>9095.1285743999997</v>
      </c>
      <c r="K48" s="52">
        <f t="shared" si="29"/>
        <v>27.285385723200001</v>
      </c>
      <c r="L48" s="52">
        <f t="shared" si="30"/>
        <v>9122.4139601232</v>
      </c>
      <c r="M48" s="52">
        <f t="shared" si="31"/>
        <v>1824.48279202464</v>
      </c>
      <c r="N48" s="52">
        <f t="shared" si="32"/>
        <v>10946.896752147841</v>
      </c>
      <c r="O48" s="52">
        <f t="shared" si="33"/>
        <v>0.14462896253203669</v>
      </c>
      <c r="P48" s="27">
        <v>0.16</v>
      </c>
    </row>
    <row r="49" spans="1:18" ht="12.75" customHeight="1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52"/>
    </row>
    <row r="50" spans="1:18" ht="15" x14ac:dyDescent="0.25">
      <c r="A50" s="58" t="s">
        <v>52</v>
      </c>
      <c r="B50" s="187" t="s">
        <v>30</v>
      </c>
      <c r="C50" s="188"/>
      <c r="D50" s="59">
        <v>3.2000000000000001E-2</v>
      </c>
      <c r="E50" s="52">
        <f>D50*$E$35*12</f>
        <v>5935.8720000000003</v>
      </c>
      <c r="F50" s="52">
        <f>E50*$F$35</f>
        <v>1797.3820416000001</v>
      </c>
      <c r="G50" s="52">
        <f>E50*$G$35</f>
        <v>1151.559168</v>
      </c>
      <c r="H50" s="52">
        <f>E50*$H$35</f>
        <v>949.73952000000008</v>
      </c>
      <c r="I50" s="52">
        <f>E50*$I$35</f>
        <v>2819.5392000000002</v>
      </c>
      <c r="J50" s="52">
        <f>SUM(E50:I50)</f>
        <v>12654.091929599999</v>
      </c>
      <c r="K50" s="52">
        <f>J50*$K$35</f>
        <v>37.9622757888</v>
      </c>
      <c r="L50" s="52">
        <f>SUM(J50:K50)</f>
        <v>12692.054205388798</v>
      </c>
      <c r="M50" s="52">
        <f>L50*$M$35</f>
        <v>2538.4108410777599</v>
      </c>
      <c r="N50" s="52">
        <f>SUM(L50:M50)</f>
        <v>15230.465046466557</v>
      </c>
      <c r="O50" s="52">
        <f>N50/$E$5/12</f>
        <v>0.20122290439239879</v>
      </c>
      <c r="P50" s="27">
        <f>((O50*1.04)*1.055)*1.045</f>
        <v>0.23071695038081022</v>
      </c>
    </row>
    <row r="51" spans="1:18" ht="30" x14ac:dyDescent="0.25">
      <c r="A51" s="58" t="s">
        <v>53</v>
      </c>
      <c r="B51" s="187" t="s">
        <v>30</v>
      </c>
      <c r="C51" s="188"/>
      <c r="D51" s="59">
        <v>0.01</v>
      </c>
      <c r="E51" s="52">
        <f t="shared" ref="E51:E52" si="34">D51*$E$35*12</f>
        <v>1854.96</v>
      </c>
      <c r="F51" s="52">
        <f t="shared" ref="F51:F52" si="35">E51*$F$35</f>
        <v>561.68188800000007</v>
      </c>
      <c r="G51" s="52">
        <f t="shared" ref="G51:G52" si="36">E51*$G$35</f>
        <v>359.86224000000004</v>
      </c>
      <c r="H51" s="52">
        <f t="shared" ref="H51:H52" si="37">E51*$H$35</f>
        <v>296.79360000000003</v>
      </c>
      <c r="I51" s="52">
        <f t="shared" ref="I51:I52" si="38">E51*$I$35</f>
        <v>881.10599999999999</v>
      </c>
      <c r="J51" s="52">
        <f t="shared" ref="J51:J52" si="39">SUM(E51:I51)</f>
        <v>3954.4037280000002</v>
      </c>
      <c r="K51" s="52">
        <f t="shared" ref="K51:K52" si="40">J51*$K$35</f>
        <v>11.863211184000001</v>
      </c>
      <c r="L51" s="52">
        <f t="shared" ref="L51:L52" si="41">SUM(J51:K51)</f>
        <v>3966.2669391840004</v>
      </c>
      <c r="M51" s="52">
        <f t="shared" ref="M51:M52" si="42">L51*$M$35</f>
        <v>793.25338783680013</v>
      </c>
      <c r="N51" s="52">
        <f t="shared" ref="N51:N52" si="43">SUM(L51:M51)</f>
        <v>4759.5203270208003</v>
      </c>
      <c r="O51" s="52">
        <f t="shared" ref="O51:O52" si="44">N51/$E$5/12</f>
        <v>6.288215762262464E-2</v>
      </c>
      <c r="P51" s="27">
        <f>((O51*1.04)*1.055)*1.045</f>
        <v>7.2099046994003199E-2</v>
      </c>
    </row>
    <row r="52" spans="1:18" ht="15" x14ac:dyDescent="0.25">
      <c r="A52" s="58" t="s">
        <v>54</v>
      </c>
      <c r="B52" s="187" t="s">
        <v>30</v>
      </c>
      <c r="C52" s="188"/>
      <c r="D52" s="59">
        <v>7.0000000000000007E-2</v>
      </c>
      <c r="E52" s="52">
        <f t="shared" si="34"/>
        <v>12984.720000000001</v>
      </c>
      <c r="F52" s="52">
        <f t="shared" si="35"/>
        <v>3931.7732160000005</v>
      </c>
      <c r="G52" s="52">
        <f t="shared" si="36"/>
        <v>2519.0356800000004</v>
      </c>
      <c r="H52" s="52">
        <f t="shared" si="37"/>
        <v>2077.5552000000002</v>
      </c>
      <c r="I52" s="52">
        <f t="shared" si="38"/>
        <v>6167.7420000000002</v>
      </c>
      <c r="J52" s="52">
        <f t="shared" si="39"/>
        <v>27680.826096000004</v>
      </c>
      <c r="K52" s="52">
        <f t="shared" si="40"/>
        <v>83.042478288000012</v>
      </c>
      <c r="L52" s="52">
        <f t="shared" si="41"/>
        <v>27763.868574288004</v>
      </c>
      <c r="M52" s="52">
        <f t="shared" si="42"/>
        <v>5552.7737148576016</v>
      </c>
      <c r="N52" s="52">
        <f t="shared" si="43"/>
        <v>33316.642289145602</v>
      </c>
      <c r="O52" s="52">
        <f t="shared" si="44"/>
        <v>0.44017510335837251</v>
      </c>
      <c r="P52" s="27">
        <f>((O52*1.04)*1.055)*1.045</f>
        <v>0.50469332895802255</v>
      </c>
    </row>
    <row r="53" spans="1:18" ht="15" x14ac:dyDescent="0.25">
      <c r="A53" s="123" t="s">
        <v>55</v>
      </c>
      <c r="B53" s="187"/>
      <c r="C53" s="188"/>
      <c r="D53" s="57">
        <f>D40+D41+D42+D44+D45+D46+D47+D48+D50+D51+D52</f>
        <v>0.36060000000000003</v>
      </c>
      <c r="E53" s="57">
        <f t="shared" ref="E53:O53" si="45">E40+E41+E42+E44+E45+E46+E47+E48+E50+E51+E52</f>
        <v>66889.857599999988</v>
      </c>
      <c r="F53" s="57">
        <f t="shared" si="45"/>
        <v>20254.24888128</v>
      </c>
      <c r="G53" s="57">
        <f t="shared" si="45"/>
        <v>12976.632374400002</v>
      </c>
      <c r="H53" s="57">
        <f t="shared" si="45"/>
        <v>10702.377216000003</v>
      </c>
      <c r="I53" s="57">
        <f t="shared" si="45"/>
        <v>31772.682359999999</v>
      </c>
      <c r="J53" s="57">
        <f t="shared" si="45"/>
        <v>142595.79843168001</v>
      </c>
      <c r="K53" s="57">
        <f t="shared" si="45"/>
        <v>427.78739529504014</v>
      </c>
      <c r="L53" s="57">
        <f t="shared" si="45"/>
        <v>143023.58582697506</v>
      </c>
      <c r="M53" s="57">
        <f t="shared" si="45"/>
        <v>28604.71716539501</v>
      </c>
      <c r="N53" s="57">
        <f t="shared" si="45"/>
        <v>171628.30299237004</v>
      </c>
      <c r="O53" s="49">
        <f t="shared" si="45"/>
        <v>2.2675306038718448</v>
      </c>
      <c r="P53" s="52">
        <f>P40+P41+P42+P44+P45+P46+P47+P48+P50+P51+P52</f>
        <v>2.5879106947236914</v>
      </c>
    </row>
    <row r="54" spans="1:18" ht="15" x14ac:dyDescent="0.25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3"/>
      <c r="P54" s="52"/>
    </row>
    <row r="55" spans="1:18" ht="15" x14ac:dyDescent="0.25">
      <c r="A55" s="58" t="s">
        <v>57</v>
      </c>
      <c r="B55" s="187" t="s">
        <v>58</v>
      </c>
      <c r="C55" s="188"/>
      <c r="D55" s="59">
        <v>1.6E-2</v>
      </c>
      <c r="E55" s="52">
        <f t="shared" ref="E55:E58" si="46">D55*$E$35*12</f>
        <v>2967.9360000000001</v>
      </c>
      <c r="F55" s="52">
        <f t="shared" ref="F55:F59" si="47">E55*$F$35</f>
        <v>898.69102080000005</v>
      </c>
      <c r="G55" s="52">
        <f t="shared" ref="G55:G59" si="48">E55*$G$35</f>
        <v>575.779584</v>
      </c>
      <c r="H55" s="52">
        <f t="shared" ref="H55:H59" si="49">E55*$H$35</f>
        <v>474.86976000000004</v>
      </c>
      <c r="I55" s="52">
        <f t="shared" ref="I55:I59" si="50">E55*$I$35</f>
        <v>1409.7696000000001</v>
      </c>
      <c r="J55" s="52">
        <f t="shared" ref="J55:J59" si="51">SUM(E55:I55)</f>
        <v>6327.0459647999996</v>
      </c>
      <c r="K55" s="52">
        <f t="shared" ref="K55:K59" si="52">J55*$K$35</f>
        <v>18.9811378944</v>
      </c>
      <c r="L55" s="52">
        <f t="shared" ref="L55:L59" si="53">SUM(J55:K55)</f>
        <v>6346.0271026943992</v>
      </c>
      <c r="M55" s="52">
        <f t="shared" ref="M55:M59" si="54">L55*$M$35</f>
        <v>1269.2054205388799</v>
      </c>
      <c r="N55" s="52">
        <f t="shared" ref="N55:N59" si="55">SUM(L55:M55)</f>
        <v>7615.2325232332787</v>
      </c>
      <c r="O55" s="52">
        <f t="shared" ref="O55:O59" si="56">N55/$E$5/12</f>
        <v>0.10061145219619939</v>
      </c>
      <c r="P55" s="27">
        <f>((O55*1.04)*1.055)*1.045</f>
        <v>0.11535847519040511</v>
      </c>
    </row>
    <row r="56" spans="1:18" ht="22.5" customHeight="1" x14ac:dyDescent="0.25">
      <c r="A56" s="63" t="s">
        <v>59</v>
      </c>
      <c r="B56" s="187" t="s">
        <v>60</v>
      </c>
      <c r="C56" s="188"/>
      <c r="D56" s="59">
        <v>1E-3</v>
      </c>
      <c r="E56" s="52">
        <f t="shared" si="46"/>
        <v>185.49600000000001</v>
      </c>
      <c r="F56" s="52">
        <f t="shared" si="47"/>
        <v>56.168188800000003</v>
      </c>
      <c r="G56" s="52">
        <f t="shared" si="48"/>
        <v>35.986224</v>
      </c>
      <c r="H56" s="52">
        <f t="shared" si="49"/>
        <v>29.679360000000003</v>
      </c>
      <c r="I56" s="52">
        <f t="shared" si="50"/>
        <v>88.110600000000005</v>
      </c>
      <c r="J56" s="52">
        <f t="shared" si="51"/>
        <v>395.44037279999998</v>
      </c>
      <c r="K56" s="52">
        <f t="shared" si="52"/>
        <v>1.1863211184</v>
      </c>
      <c r="L56" s="52">
        <f t="shared" si="53"/>
        <v>396.62669391839995</v>
      </c>
      <c r="M56" s="52">
        <f t="shared" si="54"/>
        <v>79.325338783679996</v>
      </c>
      <c r="N56" s="52">
        <f t="shared" si="55"/>
        <v>475.95203270207992</v>
      </c>
      <c r="O56" s="52">
        <f t="shared" si="56"/>
        <v>6.2882157622624621E-3</v>
      </c>
      <c r="P56" s="27">
        <f>((O56*1.04)*1.055)*1.045</f>
        <v>7.2099046994003194E-3</v>
      </c>
    </row>
    <row r="57" spans="1:18" ht="15" x14ac:dyDescent="0.25">
      <c r="A57" s="58" t="s">
        <v>61</v>
      </c>
      <c r="B57" s="187" t="s">
        <v>60</v>
      </c>
      <c r="C57" s="188"/>
      <c r="D57" s="59">
        <v>4.0000000000000001E-3</v>
      </c>
      <c r="E57" s="52">
        <f t="shared" si="46"/>
        <v>741.98400000000004</v>
      </c>
      <c r="F57" s="52">
        <f t="shared" si="47"/>
        <v>224.67275520000001</v>
      </c>
      <c r="G57" s="52">
        <f t="shared" si="48"/>
        <v>143.944896</v>
      </c>
      <c r="H57" s="52">
        <f t="shared" si="49"/>
        <v>118.71744000000001</v>
      </c>
      <c r="I57" s="52">
        <f t="shared" si="50"/>
        <v>352.44240000000002</v>
      </c>
      <c r="J57" s="52">
        <f t="shared" si="51"/>
        <v>1581.7614911999999</v>
      </c>
      <c r="K57" s="52">
        <f t="shared" si="52"/>
        <v>4.7452844735999999</v>
      </c>
      <c r="L57" s="52">
        <f t="shared" si="53"/>
        <v>1586.5067756735998</v>
      </c>
      <c r="M57" s="52">
        <f t="shared" si="54"/>
        <v>317.30135513471998</v>
      </c>
      <c r="N57" s="52">
        <f t="shared" si="55"/>
        <v>1903.8081308083197</v>
      </c>
      <c r="O57" s="52">
        <f t="shared" si="56"/>
        <v>2.5152863049049849E-2</v>
      </c>
      <c r="P57" s="27">
        <f>((O57*1.04)*1.055)*1.045</f>
        <v>2.8839618797601278E-2</v>
      </c>
      <c r="R57" s="8"/>
    </row>
    <row r="58" spans="1:18" ht="15" x14ac:dyDescent="0.25">
      <c r="A58" s="58" t="s">
        <v>62</v>
      </c>
      <c r="B58" s="187" t="s">
        <v>60</v>
      </c>
      <c r="C58" s="188"/>
      <c r="D58" s="59">
        <v>7.0000000000000001E-3</v>
      </c>
      <c r="E58" s="52">
        <f t="shared" si="46"/>
        <v>1298.472</v>
      </c>
      <c r="F58" s="52">
        <f t="shared" si="47"/>
        <v>393.17732160000003</v>
      </c>
      <c r="G58" s="52">
        <f t="shared" si="48"/>
        <v>251.90356800000001</v>
      </c>
      <c r="H58" s="52">
        <f t="shared" si="49"/>
        <v>207.75551999999999</v>
      </c>
      <c r="I58" s="52">
        <f t="shared" si="50"/>
        <v>616.77419999999995</v>
      </c>
      <c r="J58" s="52">
        <f t="shared" si="51"/>
        <v>2768.0826095999996</v>
      </c>
      <c r="K58" s="52">
        <f t="shared" si="52"/>
        <v>8.3042478287999995</v>
      </c>
      <c r="L58" s="52">
        <f t="shared" si="53"/>
        <v>2776.3868574287994</v>
      </c>
      <c r="M58" s="52">
        <f t="shared" si="54"/>
        <v>555.27737148575989</v>
      </c>
      <c r="N58" s="52">
        <f t="shared" si="55"/>
        <v>3331.6642289145593</v>
      </c>
      <c r="O58" s="52">
        <f t="shared" si="56"/>
        <v>4.4017510335837236E-2</v>
      </c>
      <c r="P58" s="27">
        <f>0.04*1.045</f>
        <v>4.1799999999999997E-2</v>
      </c>
    </row>
    <row r="59" spans="1:18" ht="15" x14ac:dyDescent="0.25">
      <c r="A59" s="64" t="s">
        <v>63</v>
      </c>
      <c r="B59" s="187" t="s">
        <v>30</v>
      </c>
      <c r="C59" s="188"/>
      <c r="D59" s="194">
        <v>0.10299999999999999</v>
      </c>
      <c r="E59" s="145">
        <f>D59*$E$35*12</f>
        <v>19106.088</v>
      </c>
      <c r="F59" s="145">
        <f t="shared" si="47"/>
        <v>5785.3234463999997</v>
      </c>
      <c r="G59" s="145">
        <f t="shared" si="48"/>
        <v>3706.5810719999999</v>
      </c>
      <c r="H59" s="145">
        <f t="shared" si="49"/>
        <v>3056.97408</v>
      </c>
      <c r="I59" s="145">
        <f t="shared" si="50"/>
        <v>9075.3917999999994</v>
      </c>
      <c r="J59" s="145">
        <f t="shared" si="51"/>
        <v>40730.3583984</v>
      </c>
      <c r="K59" s="145">
        <f t="shared" si="52"/>
        <v>122.1910751952</v>
      </c>
      <c r="L59" s="145">
        <f t="shared" si="53"/>
        <v>40852.549473595202</v>
      </c>
      <c r="M59" s="145">
        <f t="shared" si="54"/>
        <v>8170.5098947190409</v>
      </c>
      <c r="N59" s="145">
        <f t="shared" si="55"/>
        <v>49023.059368314243</v>
      </c>
      <c r="O59" s="145">
        <f t="shared" si="56"/>
        <v>0.64768622351303384</v>
      </c>
      <c r="P59" s="145">
        <f>0.71*1.045</f>
        <v>0.74194999999999989</v>
      </c>
    </row>
    <row r="60" spans="1:18" ht="15" x14ac:dyDescent="0.25">
      <c r="A60" s="64" t="s">
        <v>64</v>
      </c>
      <c r="B60" s="187" t="s">
        <v>30</v>
      </c>
      <c r="C60" s="188"/>
      <c r="D60" s="195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</row>
    <row r="61" spans="1:18" ht="15" x14ac:dyDescent="0.25">
      <c r="A61" s="64" t="s">
        <v>65</v>
      </c>
      <c r="B61" s="187" t="s">
        <v>42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</row>
    <row r="62" spans="1:18" ht="15" x14ac:dyDescent="0.25">
      <c r="A62" s="64" t="s">
        <v>66</v>
      </c>
      <c r="B62" s="187" t="s">
        <v>30</v>
      </c>
      <c r="C62" s="188"/>
      <c r="D62" s="196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</row>
    <row r="63" spans="1:18" ht="15" x14ac:dyDescent="0.25">
      <c r="A63" s="58" t="s">
        <v>67</v>
      </c>
      <c r="B63" s="187" t="s">
        <v>42</v>
      </c>
      <c r="C63" s="188"/>
      <c r="D63" s="59">
        <v>1E-3</v>
      </c>
      <c r="E63" s="52">
        <f t="shared" ref="E63" si="57">D63*$E$35*12</f>
        <v>185.49600000000001</v>
      </c>
      <c r="F63" s="52">
        <f t="shared" ref="F63" si="58">E63*$F$35</f>
        <v>56.168188800000003</v>
      </c>
      <c r="G63" s="52">
        <f t="shared" ref="G63" si="59">E63*$G$35</f>
        <v>35.986224</v>
      </c>
      <c r="H63" s="52">
        <f t="shared" ref="H63" si="60">E63*$H$35</f>
        <v>29.679360000000003</v>
      </c>
      <c r="I63" s="52">
        <f t="shared" ref="I63" si="61">E63*$I$35</f>
        <v>88.110600000000005</v>
      </c>
      <c r="J63" s="52">
        <f t="shared" ref="J63" si="62">SUM(E63:I63)</f>
        <v>395.44037279999998</v>
      </c>
      <c r="K63" s="52">
        <f t="shared" ref="K63" si="63">J63*$K$35</f>
        <v>1.1863211184</v>
      </c>
      <c r="L63" s="52">
        <f t="shared" ref="L63" si="64">SUM(J63:K63)</f>
        <v>396.62669391839995</v>
      </c>
      <c r="M63" s="52">
        <f t="shared" ref="M63" si="65">L63*$M$35</f>
        <v>79.325338783679996</v>
      </c>
      <c r="N63" s="52">
        <f t="shared" ref="N63" si="66">SUM(L63:M63)</f>
        <v>475.95203270207992</v>
      </c>
      <c r="O63" s="52">
        <f t="shared" ref="O63" si="67">N63/$E$5/12</f>
        <v>6.2882157622624621E-3</v>
      </c>
      <c r="P63" s="27">
        <f>((O63*1.04)*1.055)*1.045</f>
        <v>7.2099046994003194E-3</v>
      </c>
    </row>
    <row r="64" spans="1:18" ht="15" x14ac:dyDescent="0.25">
      <c r="A64" s="60" t="s">
        <v>55</v>
      </c>
      <c r="B64" s="187"/>
      <c r="C64" s="188"/>
      <c r="D64" s="33">
        <f>SUM(D55:D63)</f>
        <v>0.13200000000000001</v>
      </c>
      <c r="E64" s="49">
        <f t="shared" ref="E64:O64" si="68">SUM(E55:E63)</f>
        <v>24485.471999999998</v>
      </c>
      <c r="F64" s="49">
        <f t="shared" si="68"/>
        <v>7414.2009216000006</v>
      </c>
      <c r="G64" s="49">
        <f t="shared" si="68"/>
        <v>4750.181568</v>
      </c>
      <c r="H64" s="49">
        <f t="shared" si="68"/>
        <v>3917.6755199999998</v>
      </c>
      <c r="I64" s="49">
        <f t="shared" si="68"/>
        <v>11630.599199999999</v>
      </c>
      <c r="J64" s="49">
        <f t="shared" si="68"/>
        <v>52198.129209600003</v>
      </c>
      <c r="K64" s="49">
        <f t="shared" si="68"/>
        <v>156.59438762880001</v>
      </c>
      <c r="L64" s="49">
        <f t="shared" si="68"/>
        <v>52354.723597228796</v>
      </c>
      <c r="M64" s="49">
        <f t="shared" si="68"/>
        <v>10470.944719445761</v>
      </c>
      <c r="N64" s="49">
        <f t="shared" si="68"/>
        <v>62825.668316674557</v>
      </c>
      <c r="O64" s="49">
        <f t="shared" si="68"/>
        <v>0.83004448061864522</v>
      </c>
      <c r="P64" s="27">
        <f>((O64*1.04)*1.055)*1.045</f>
        <v>0.95170742032084243</v>
      </c>
    </row>
    <row r="65" spans="1:16" ht="15" x14ac:dyDescent="0.25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3"/>
      <c r="P65" s="52"/>
    </row>
    <row r="66" spans="1:16" ht="15" x14ac:dyDescent="0.25">
      <c r="A66" s="151" t="s">
        <v>69</v>
      </c>
      <c r="B66" s="152"/>
      <c r="C66" s="153"/>
      <c r="D66" s="59">
        <v>4.0000000000000001E-3</v>
      </c>
      <c r="E66" s="52">
        <f>D66*$E$35*12</f>
        <v>741.98400000000004</v>
      </c>
      <c r="F66" s="52">
        <f>E66*$F$35</f>
        <v>224.67275520000001</v>
      </c>
      <c r="G66" s="52">
        <f>E66*$G$35</f>
        <v>143.944896</v>
      </c>
      <c r="H66" s="52">
        <f>E66*$H$35</f>
        <v>118.71744000000001</v>
      </c>
      <c r="I66" s="52">
        <f>E66*$I$35</f>
        <v>352.44240000000002</v>
      </c>
      <c r="J66" s="52">
        <f>SUM(E66:I66)</f>
        <v>1581.7614911999999</v>
      </c>
      <c r="K66" s="52">
        <f>J66*$K$35</f>
        <v>4.7452844735999999</v>
      </c>
      <c r="L66" s="52">
        <f>SUM(J66:K66)</f>
        <v>1586.5067756735998</v>
      </c>
      <c r="M66" s="52">
        <f>L66*$M$35</f>
        <v>317.30135513471998</v>
      </c>
      <c r="N66" s="52">
        <f>SUM(L66:M66)</f>
        <v>1903.8081308083197</v>
      </c>
      <c r="O66" s="52">
        <f>N66/$E$5/12</f>
        <v>2.5152863049049849E-2</v>
      </c>
      <c r="P66" s="27">
        <f>((O66*1.04)*1.055)*1.045</f>
        <v>2.8839618797601278E-2</v>
      </c>
    </row>
    <row r="67" spans="1:16" ht="15" x14ac:dyDescent="0.2">
      <c r="A67" s="151" t="s">
        <v>55</v>
      </c>
      <c r="B67" s="152"/>
      <c r="C67" s="153"/>
      <c r="D67" s="57">
        <f>D66</f>
        <v>4.0000000000000001E-3</v>
      </c>
      <c r="E67" s="49">
        <f t="shared" ref="E67:O67" si="69">E66</f>
        <v>741.98400000000004</v>
      </c>
      <c r="F67" s="49">
        <f t="shared" si="69"/>
        <v>224.67275520000001</v>
      </c>
      <c r="G67" s="49">
        <f t="shared" si="69"/>
        <v>143.944896</v>
      </c>
      <c r="H67" s="49">
        <f t="shared" si="69"/>
        <v>118.71744000000001</v>
      </c>
      <c r="I67" s="49">
        <f t="shared" si="69"/>
        <v>352.44240000000002</v>
      </c>
      <c r="J67" s="49">
        <f t="shared" si="69"/>
        <v>1581.7614911999999</v>
      </c>
      <c r="K67" s="49">
        <f t="shared" si="69"/>
        <v>4.7452844735999999</v>
      </c>
      <c r="L67" s="49">
        <f t="shared" si="69"/>
        <v>1586.5067756735998</v>
      </c>
      <c r="M67" s="49">
        <f t="shared" si="69"/>
        <v>317.30135513471998</v>
      </c>
      <c r="N67" s="49">
        <f t="shared" si="69"/>
        <v>1903.8081308083197</v>
      </c>
      <c r="O67" s="49">
        <f t="shared" si="69"/>
        <v>2.5152863049049849E-2</v>
      </c>
      <c r="P67" s="27">
        <f>0.02*1.045</f>
        <v>2.0899999999999998E-2</v>
      </c>
    </row>
    <row r="68" spans="1:16" ht="14.1" x14ac:dyDescent="0.3">
      <c r="A68" s="112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52"/>
    </row>
    <row r="69" spans="1:16" ht="15" x14ac:dyDescent="0.25">
      <c r="A69" s="179" t="s">
        <v>89</v>
      </c>
      <c r="B69" s="180"/>
      <c r="C69" s="181"/>
      <c r="D69" s="33"/>
      <c r="E69" s="33"/>
      <c r="F69" s="33"/>
      <c r="G69" s="33"/>
      <c r="H69" s="33"/>
      <c r="I69" s="33"/>
      <c r="J69" s="33">
        <f>0.37*E5*12</f>
        <v>28005.1224</v>
      </c>
      <c r="K69" s="33">
        <f>J69*0.3%</f>
        <v>84.0153672</v>
      </c>
      <c r="L69" s="33">
        <f>SUM(J69:K69)</f>
        <v>28089.137767200002</v>
      </c>
      <c r="M69" s="33">
        <f>L69*0.2</f>
        <v>5617.8275534400009</v>
      </c>
      <c r="N69" s="33">
        <f>SUM(L69:M69)</f>
        <v>33706.965320640003</v>
      </c>
      <c r="O69" s="31">
        <f>N69/E5/12</f>
        <v>0.44533200000000006</v>
      </c>
      <c r="P69" s="52">
        <f>(0.455*1.055)*1.045</f>
        <v>0.50162612499999992</v>
      </c>
    </row>
    <row r="70" spans="1:16" ht="14.1" x14ac:dyDescent="0.3">
      <c r="A70" s="203"/>
      <c r="B70" s="204"/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52"/>
    </row>
    <row r="71" spans="1:16" ht="15" x14ac:dyDescent="0.25">
      <c r="A71" s="179" t="s">
        <v>72</v>
      </c>
      <c r="B71" s="180"/>
      <c r="C71" s="181"/>
      <c r="D71" s="33"/>
      <c r="E71" s="33"/>
      <c r="F71" s="33"/>
      <c r="G71" s="33"/>
      <c r="H71" s="33"/>
      <c r="I71" s="33"/>
      <c r="J71" s="33">
        <f>1.49*E5*12</f>
        <v>112777.3848</v>
      </c>
      <c r="K71" s="33">
        <f>J71*0.3%</f>
        <v>338.33215439999998</v>
      </c>
      <c r="L71" s="33">
        <f>SUM(J71:K71)</f>
        <v>113115.71695440001</v>
      </c>
      <c r="M71" s="33">
        <f>L71*0.2</f>
        <v>22623.143390880003</v>
      </c>
      <c r="N71" s="33">
        <f>SUM(L71:M71)</f>
        <v>135738.86034528</v>
      </c>
      <c r="O71" s="31">
        <f>N71/E5/12</f>
        <v>1.7933640000000002</v>
      </c>
      <c r="P71" s="52">
        <f>(1.84*1.055)*1.045</f>
        <v>2.0285539999999997</v>
      </c>
    </row>
    <row r="72" spans="1:16" ht="15" x14ac:dyDescent="0.25">
      <c r="A72" s="203"/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52"/>
    </row>
    <row r="73" spans="1:16" ht="15" x14ac:dyDescent="0.25">
      <c r="A73" s="220" t="s">
        <v>73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52"/>
    </row>
    <row r="74" spans="1:16" ht="15" x14ac:dyDescent="0.25">
      <c r="A74" s="124" t="s">
        <v>75</v>
      </c>
      <c r="B74" s="125"/>
      <c r="C74" s="125"/>
      <c r="D74" s="125"/>
      <c r="E74" s="125"/>
      <c r="F74" s="125"/>
      <c r="G74" s="125"/>
      <c r="H74" s="125"/>
      <c r="I74" s="125"/>
      <c r="J74" s="16"/>
      <c r="K74" s="125"/>
      <c r="L74" s="66">
        <f>0.275*E5*12</f>
        <v>20814.618000000002</v>
      </c>
      <c r="M74" s="66">
        <f>L74*0.2</f>
        <v>4162.923600000001</v>
      </c>
      <c r="N74" s="66">
        <f>L74+M74</f>
        <v>24977.541600000004</v>
      </c>
      <c r="O74" s="31">
        <f>N74/E5/12</f>
        <v>0.33</v>
      </c>
      <c r="P74" s="52">
        <v>0.71</v>
      </c>
    </row>
    <row r="75" spans="1:16" ht="14.25" customHeight="1" x14ac:dyDescent="0.25">
      <c r="A75" s="201" t="s">
        <v>22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32">
        <f>SUM(O74:O74)</f>
        <v>0.33</v>
      </c>
      <c r="P75" s="31">
        <f>P74</f>
        <v>0.71</v>
      </c>
    </row>
    <row r="76" spans="1:16" ht="15" x14ac:dyDescent="0.25">
      <c r="A76" s="203"/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19"/>
      <c r="P76" s="34"/>
    </row>
    <row r="77" spans="1:16" ht="30" customHeight="1" x14ac:dyDescent="0.2">
      <c r="A77" s="201" t="s">
        <v>125</v>
      </c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32">
        <f>O21+O31+O53+O64+O67+O69+O71+O75+O37</f>
        <v>12.048493300775386</v>
      </c>
      <c r="P77" s="32">
        <f>P21+P31+P53+P64+P67+P69+P71+P75+P37</f>
        <v>13.970251773555546</v>
      </c>
    </row>
    <row r="78" spans="1:16" ht="15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</row>
    <row r="79" spans="1:16" ht="15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spans="1:16" ht="15" x14ac:dyDescent="0.25">
      <c r="A80" s="80" t="s">
        <v>94</v>
      </c>
      <c r="B80" s="80"/>
      <c r="C80" s="80"/>
      <c r="D80" s="80"/>
      <c r="E80" s="14"/>
      <c r="F80" s="14"/>
      <c r="G80" s="14"/>
      <c r="H80" s="14"/>
      <c r="I80" s="14"/>
      <c r="J80" s="14"/>
      <c r="K80" s="14"/>
      <c r="L80" s="80" t="s">
        <v>78</v>
      </c>
      <c r="M80" s="80"/>
      <c r="N80" s="80"/>
      <c r="O80" s="80"/>
      <c r="P80" s="81"/>
    </row>
    <row r="90" spans="4:4" x14ac:dyDescent="0.2">
      <c r="D90" s="2">
        <f>D67+D64+D53+D37</f>
        <v>0.80380000000000007</v>
      </c>
    </row>
  </sheetData>
  <mergeCells count="105">
    <mergeCell ref="A4:P4"/>
    <mergeCell ref="A73:O73"/>
    <mergeCell ref="A75:N75"/>
    <mergeCell ref="A76:O76"/>
    <mergeCell ref="A77:N77"/>
    <mergeCell ref="B64:C64"/>
    <mergeCell ref="A65:O65"/>
    <mergeCell ref="A66:C66"/>
    <mergeCell ref="A67:C67"/>
    <mergeCell ref="A69:C69"/>
    <mergeCell ref="A70:O70"/>
    <mergeCell ref="B63:C63"/>
    <mergeCell ref="H59:H62"/>
    <mergeCell ref="I59:I62"/>
    <mergeCell ref="J59:J62"/>
    <mergeCell ref="K59:K62"/>
    <mergeCell ref="L59:L62"/>
    <mergeCell ref="M59:M62"/>
    <mergeCell ref="A71:C71"/>
    <mergeCell ref="A72:O72"/>
    <mergeCell ref="A54:O54"/>
    <mergeCell ref="B55:C55"/>
    <mergeCell ref="B56:C56"/>
    <mergeCell ref="B57:C57"/>
    <mergeCell ref="B58:C58"/>
    <mergeCell ref="B59:C59"/>
    <mergeCell ref="D59:D62"/>
    <mergeCell ref="E59:E62"/>
    <mergeCell ref="F59:F62"/>
    <mergeCell ref="G59:G62"/>
    <mergeCell ref="N59:N62"/>
    <mergeCell ref="O59:O62"/>
    <mergeCell ref="B60:C60"/>
    <mergeCell ref="B61:C61"/>
    <mergeCell ref="B62:C62"/>
    <mergeCell ref="B48:C48"/>
    <mergeCell ref="A49:O49"/>
    <mergeCell ref="B50:C50"/>
    <mergeCell ref="B51:C51"/>
    <mergeCell ref="B52:C52"/>
    <mergeCell ref="B53:C53"/>
    <mergeCell ref="B42:C42"/>
    <mergeCell ref="A43:O43"/>
    <mergeCell ref="B44:C44"/>
    <mergeCell ref="B45:C45"/>
    <mergeCell ref="B46:C46"/>
    <mergeCell ref="B47:C47"/>
    <mergeCell ref="A38:O38"/>
    <mergeCell ref="A39:O39"/>
    <mergeCell ref="B40:C40"/>
    <mergeCell ref="B41:C41"/>
    <mergeCell ref="H33:H34"/>
    <mergeCell ref="I33:I34"/>
    <mergeCell ref="J33:J35"/>
    <mergeCell ref="K33:K34"/>
    <mergeCell ref="L33:L35"/>
    <mergeCell ref="M33:M34"/>
    <mergeCell ref="A33:A36"/>
    <mergeCell ref="B33:B35"/>
    <mergeCell ref="C33:C35"/>
    <mergeCell ref="D33:D35"/>
    <mergeCell ref="E33:E34"/>
    <mergeCell ref="F33:F34"/>
    <mergeCell ref="G33:G34"/>
    <mergeCell ref="K25:K26"/>
    <mergeCell ref="L25:L27"/>
    <mergeCell ref="M25:M26"/>
    <mergeCell ref="P7:P9"/>
    <mergeCell ref="P25:P27"/>
    <mergeCell ref="P33:P35"/>
    <mergeCell ref="H25:H26"/>
    <mergeCell ref="I25:I26"/>
    <mergeCell ref="I7:I8"/>
    <mergeCell ref="J7:J9"/>
    <mergeCell ref="K7:K8"/>
    <mergeCell ref="L7:L9"/>
    <mergeCell ref="M7:M8"/>
    <mergeCell ref="N7:N9"/>
    <mergeCell ref="N25:N27"/>
    <mergeCell ref="N33:N35"/>
    <mergeCell ref="O33:O35"/>
    <mergeCell ref="P59:P62"/>
    <mergeCell ref="A2:P2"/>
    <mergeCell ref="A3:P3"/>
    <mergeCell ref="A7:A10"/>
    <mergeCell ref="B7:B9"/>
    <mergeCell ref="C7:C9"/>
    <mergeCell ref="D7:D9"/>
    <mergeCell ref="E7:E8"/>
    <mergeCell ref="F7:F8"/>
    <mergeCell ref="G7:G8"/>
    <mergeCell ref="H7:H8"/>
    <mergeCell ref="O7:O9"/>
    <mergeCell ref="A11:O11"/>
    <mergeCell ref="A19:O19"/>
    <mergeCell ref="A25:A28"/>
    <mergeCell ref="B25:B27"/>
    <mergeCell ref="C25:C27"/>
    <mergeCell ref="D25:D27"/>
    <mergeCell ref="E25:E26"/>
    <mergeCell ref="F25:F26"/>
    <mergeCell ref="G25:G26"/>
    <mergeCell ref="O25:O27"/>
    <mergeCell ref="A32:O32"/>
    <mergeCell ref="J25:J27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0"/>
  <sheetViews>
    <sheetView zoomScale="180" zoomScaleNormal="180" workbookViewId="0">
      <selection activeCell="R17" sqref="R17"/>
    </sheetView>
  </sheetViews>
  <sheetFormatPr defaultColWidth="9.140625" defaultRowHeight="12.75" x14ac:dyDescent="0.2"/>
  <cols>
    <col min="1" max="1" width="72.42578125" style="2" customWidth="1"/>
    <col min="2" max="3" width="6.7109375" style="2" hidden="1" customWidth="1"/>
    <col min="4" max="4" width="6.85546875" style="2" hidden="1" customWidth="1"/>
    <col min="5" max="5" width="9.7109375" style="2" hidden="1" customWidth="1"/>
    <col min="6" max="6" width="9.42578125" style="2" hidden="1" customWidth="1"/>
    <col min="7" max="7" width="8.28515625" style="2" hidden="1" customWidth="1"/>
    <col min="8" max="9" width="9.42578125" style="2" hidden="1" customWidth="1"/>
    <col min="10" max="10" width="11" style="2" hidden="1" customWidth="1"/>
    <col min="11" max="11" width="9.42578125" style="2" hidden="1" customWidth="1"/>
    <col min="12" max="12" width="9.5703125" style="2" hidden="1" customWidth="1"/>
    <col min="13" max="13" width="9.42578125" style="2" hidden="1" customWidth="1"/>
    <col min="14" max="14" width="9.5703125" style="2" hidden="1" customWidth="1"/>
    <col min="15" max="15" width="16.5703125" style="2" hidden="1" customWidth="1"/>
    <col min="16" max="16" width="16.5703125" style="2" customWidth="1"/>
    <col min="17" max="16384" width="9.140625" style="1"/>
  </cols>
  <sheetData>
    <row r="2" spans="1:16" ht="14.25" x14ac:dyDescent="0.2">
      <c r="A2" s="155" t="s">
        <v>105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1:16" ht="12.95" customHeight="1" x14ac:dyDescent="0.2">
      <c r="A3" s="197" t="s">
        <v>103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</row>
    <row r="4" spans="1:16" ht="14.45" customHeight="1" x14ac:dyDescent="0.2">
      <c r="A4" s="154" t="s">
        <v>104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</row>
    <row r="5" spans="1:16" ht="14.25" hidden="1" x14ac:dyDescent="0.2">
      <c r="A5" s="69" t="s">
        <v>0</v>
      </c>
      <c r="B5" s="15"/>
      <c r="C5" s="15"/>
      <c r="D5" s="15"/>
      <c r="E5" s="15">
        <v>6307.46</v>
      </c>
      <c r="F5" s="15" t="s">
        <v>1</v>
      </c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ht="15" hidden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6"/>
      <c r="P6" s="16"/>
    </row>
    <row r="7" spans="1:16" ht="84" customHeight="1" x14ac:dyDescent="0.2">
      <c r="A7" s="157" t="s">
        <v>2</v>
      </c>
      <c r="B7" s="158" t="s">
        <v>3</v>
      </c>
      <c r="C7" s="158" t="s">
        <v>4</v>
      </c>
      <c r="D7" s="158" t="s">
        <v>5</v>
      </c>
      <c r="E7" s="161" t="s">
        <v>6</v>
      </c>
      <c r="F7" s="163" t="s">
        <v>7</v>
      </c>
      <c r="G7" s="165" t="s">
        <v>8</v>
      </c>
      <c r="H7" s="165" t="s">
        <v>9</v>
      </c>
      <c r="I7" s="165" t="s">
        <v>10</v>
      </c>
      <c r="J7" s="158" t="s">
        <v>11</v>
      </c>
      <c r="K7" s="158" t="s">
        <v>12</v>
      </c>
      <c r="L7" s="167" t="s">
        <v>90</v>
      </c>
      <c r="M7" s="158" t="s">
        <v>14</v>
      </c>
      <c r="N7" s="167" t="s">
        <v>34</v>
      </c>
      <c r="O7" s="141" t="s">
        <v>16</v>
      </c>
      <c r="P7" s="141" t="s">
        <v>135</v>
      </c>
    </row>
    <row r="8" spans="1:16" hidden="1" x14ac:dyDescent="0.2">
      <c r="A8" s="157"/>
      <c r="B8" s="159"/>
      <c r="C8" s="159"/>
      <c r="D8" s="159"/>
      <c r="E8" s="162"/>
      <c r="F8" s="164"/>
      <c r="G8" s="166"/>
      <c r="H8" s="177"/>
      <c r="I8" s="177"/>
      <c r="J8" s="159"/>
      <c r="K8" s="159"/>
      <c r="L8" s="168"/>
      <c r="M8" s="159"/>
      <c r="N8" s="168"/>
      <c r="O8" s="142"/>
      <c r="P8" s="142"/>
    </row>
    <row r="9" spans="1:16" ht="15" hidden="1" x14ac:dyDescent="0.2">
      <c r="A9" s="157"/>
      <c r="B9" s="160"/>
      <c r="C9" s="160"/>
      <c r="D9" s="160"/>
      <c r="E9" s="18">
        <v>12792</v>
      </c>
      <c r="F9" s="19">
        <v>0.30280000000000001</v>
      </c>
      <c r="G9" s="50">
        <v>2.2599999999999999E-2</v>
      </c>
      <c r="H9" s="21">
        <v>2.7E-2</v>
      </c>
      <c r="I9" s="21">
        <v>0.47499999999999998</v>
      </c>
      <c r="J9" s="160"/>
      <c r="K9" s="22">
        <v>3.0000000000000001E-3</v>
      </c>
      <c r="L9" s="169"/>
      <c r="M9" s="23">
        <v>0.2</v>
      </c>
      <c r="N9" s="169"/>
      <c r="O9" s="143"/>
      <c r="P9" s="143"/>
    </row>
    <row r="10" spans="1:16" ht="14.25" hidden="1" x14ac:dyDescent="0.2">
      <c r="A10" s="157"/>
      <c r="B10" s="24">
        <v>1</v>
      </c>
      <c r="C10" s="24">
        <v>2</v>
      </c>
      <c r="D10" s="24">
        <v>3</v>
      </c>
      <c r="E10" s="24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12</v>
      </c>
      <c r="N10" s="24">
        <v>13</v>
      </c>
      <c r="O10" s="24">
        <v>14</v>
      </c>
      <c r="P10" s="24">
        <v>14</v>
      </c>
    </row>
    <row r="11" spans="1:16" ht="15" x14ac:dyDescent="0.25">
      <c r="A11" s="170" t="s">
        <v>17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71"/>
    </row>
    <row r="12" spans="1:16" ht="36.75" customHeight="1" x14ac:dyDescent="0.2">
      <c r="A12" s="26" t="s">
        <v>106</v>
      </c>
      <c r="B12" s="27" t="s">
        <v>18</v>
      </c>
      <c r="C12" s="27" t="s">
        <v>18</v>
      </c>
      <c r="D12" s="27">
        <f>SUM(D13:D15)</f>
        <v>0.25697560015741838</v>
      </c>
      <c r="E12" s="27">
        <f t="shared" ref="E12:O12" si="0">SUM(E13:E15)</f>
        <v>39446.782526564348</v>
      </c>
      <c r="F12" s="27">
        <f t="shared" si="0"/>
        <v>11944.485749043684</v>
      </c>
      <c r="G12" s="27">
        <f t="shared" si="0"/>
        <v>891.49728510035425</v>
      </c>
      <c r="H12" s="27">
        <f t="shared" si="0"/>
        <v>1065.0631282172374</v>
      </c>
      <c r="I12" s="27">
        <f t="shared" si="0"/>
        <v>18737.221700118062</v>
      </c>
      <c r="J12" s="27">
        <f t="shared" si="0"/>
        <v>72085.050389043681</v>
      </c>
      <c r="K12" s="27">
        <f t="shared" si="0"/>
        <v>216.25515116713106</v>
      </c>
      <c r="L12" s="27">
        <f t="shared" si="0"/>
        <v>72301.305540210815</v>
      </c>
      <c r="M12" s="27">
        <f t="shared" si="0"/>
        <v>14460.261108042165</v>
      </c>
      <c r="N12" s="27">
        <f t="shared" si="0"/>
        <v>86761.566648252978</v>
      </c>
      <c r="O12" s="27">
        <f t="shared" si="0"/>
        <v>1.1462824265268559</v>
      </c>
      <c r="P12" s="27">
        <f>(1.15*1.055)*1.045</f>
        <v>1.2678462499999998</v>
      </c>
    </row>
    <row r="13" spans="1:16" ht="15" x14ac:dyDescent="0.25">
      <c r="A13" s="28" t="s">
        <v>19</v>
      </c>
      <c r="B13" s="29">
        <f>'[4]4 категория'!V50</f>
        <v>340</v>
      </c>
      <c r="C13" s="29">
        <v>3630</v>
      </c>
      <c r="D13" s="30">
        <f>B13/C13</f>
        <v>9.366391184573003E-2</v>
      </c>
      <c r="E13" s="30">
        <f>D13*$E$9*12</f>
        <v>14377.785123966944</v>
      </c>
      <c r="F13" s="31">
        <f>E13*$F$9</f>
        <v>4353.5933355371908</v>
      </c>
      <c r="G13" s="31">
        <f>E13*$G$9</f>
        <v>324.93794380165292</v>
      </c>
      <c r="H13" s="31">
        <f>E13*$H$9</f>
        <v>388.20019834710746</v>
      </c>
      <c r="I13" s="31">
        <f>E13*$I$9</f>
        <v>6829.4479338842975</v>
      </c>
      <c r="J13" s="31">
        <f>SUM(E13:I13)</f>
        <v>26273.964535537194</v>
      </c>
      <c r="K13" s="31">
        <f>J13*$K$9</f>
        <v>78.821893606611582</v>
      </c>
      <c r="L13" s="32">
        <f>SUM(J13:K13)</f>
        <v>26352.786429143805</v>
      </c>
      <c r="M13" s="31">
        <f>L13*$M$9</f>
        <v>5270.5572858287615</v>
      </c>
      <c r="N13" s="32">
        <f>SUM(L13:M13)</f>
        <v>31623.343714972565</v>
      </c>
      <c r="O13" s="31">
        <f>N13/$E$5/12</f>
        <v>0.4178034649311102</v>
      </c>
      <c r="P13" s="27">
        <f>0.45*1.045</f>
        <v>0.47025</v>
      </c>
    </row>
    <row r="14" spans="1:16" ht="15" x14ac:dyDescent="0.25">
      <c r="A14" s="28" t="s">
        <v>20</v>
      </c>
      <c r="B14" s="29">
        <f>'[4]4 категория'!W50</f>
        <v>503</v>
      </c>
      <c r="C14" s="29">
        <v>3080</v>
      </c>
      <c r="D14" s="30">
        <f t="shared" ref="D14:D15" si="1">B14/C14</f>
        <v>0.16331168831168832</v>
      </c>
      <c r="E14" s="30">
        <f>D14*$E$9*12</f>
        <v>25068.997402597401</v>
      </c>
      <c r="F14" s="31">
        <f t="shared" ref="F14:F15" si="2">E14*$F$9</f>
        <v>7590.8924135064935</v>
      </c>
      <c r="G14" s="31">
        <f t="shared" ref="G14:G15" si="3">E14*$G$9</f>
        <v>566.55934129870127</v>
      </c>
      <c r="H14" s="31">
        <f t="shared" ref="H14:H15" si="4">E14*$H$9</f>
        <v>676.86292987012985</v>
      </c>
      <c r="I14" s="31">
        <f t="shared" ref="I14:I15" si="5">E14*$I$9</f>
        <v>11907.773766233764</v>
      </c>
      <c r="J14" s="31">
        <f t="shared" ref="J14:J15" si="6">SUM(E14:I14)</f>
        <v>45811.085853506491</v>
      </c>
      <c r="K14" s="31">
        <f t="shared" ref="K14:K15" si="7">J14*$K$9</f>
        <v>137.43325756051948</v>
      </c>
      <c r="L14" s="32">
        <f t="shared" ref="L14:L15" si="8">SUM(J14:K14)</f>
        <v>45948.519111067013</v>
      </c>
      <c r="M14" s="31">
        <f t="shared" ref="M14:M15" si="9">L14*$M$9</f>
        <v>9189.7038222134033</v>
      </c>
      <c r="N14" s="32">
        <f t="shared" ref="N14:N15" si="10">SUM(L14:M14)</f>
        <v>55138.222933280413</v>
      </c>
      <c r="O14" s="31">
        <f>N14/$E$5/12</f>
        <v>0.72847896159574554</v>
      </c>
      <c r="P14" s="27">
        <f>(0.73*1.055)*1.045</f>
        <v>0.80480674999999979</v>
      </c>
    </row>
    <row r="15" spans="1:16" ht="15" x14ac:dyDescent="0.25">
      <c r="A15" s="28" t="s">
        <v>21</v>
      </c>
      <c r="B15" s="29">
        <f>'[4]4 категория'!X50</f>
        <v>0</v>
      </c>
      <c r="C15" s="29">
        <v>2500</v>
      </c>
      <c r="D15" s="30">
        <f t="shared" si="1"/>
        <v>0</v>
      </c>
      <c r="E15" s="30">
        <f>D15*$E$9*12</f>
        <v>0</v>
      </c>
      <c r="F15" s="31">
        <f t="shared" si="2"/>
        <v>0</v>
      </c>
      <c r="G15" s="31">
        <f t="shared" si="3"/>
        <v>0</v>
      </c>
      <c r="H15" s="31">
        <f t="shared" si="4"/>
        <v>0</v>
      </c>
      <c r="I15" s="31">
        <f t="shared" si="5"/>
        <v>0</v>
      </c>
      <c r="J15" s="31">
        <f t="shared" si="6"/>
        <v>0</v>
      </c>
      <c r="K15" s="31">
        <f t="shared" si="7"/>
        <v>0</v>
      </c>
      <c r="L15" s="32">
        <f t="shared" si="8"/>
        <v>0</v>
      </c>
      <c r="M15" s="31">
        <f t="shared" si="9"/>
        <v>0</v>
      </c>
      <c r="N15" s="32">
        <f t="shared" si="10"/>
        <v>0</v>
      </c>
      <c r="O15" s="31">
        <f>N15/$E$5/12</f>
        <v>0</v>
      </c>
      <c r="P15" s="27">
        <f>(O15*1.04)*1.055</f>
        <v>0</v>
      </c>
    </row>
    <row r="16" spans="1:16" ht="15.75" customHeight="1" x14ac:dyDescent="0.25">
      <c r="A16" s="26" t="s">
        <v>98</v>
      </c>
      <c r="B16" s="29">
        <f>'[4]4 категория'!T50</f>
        <v>1682</v>
      </c>
      <c r="C16" s="29">
        <v>30000</v>
      </c>
      <c r="D16" s="31">
        <f>B16/C16</f>
        <v>5.6066666666666667E-2</v>
      </c>
      <c r="E16" s="30">
        <f>$E$9*D16*12</f>
        <v>8606.4575999999997</v>
      </c>
      <c r="F16" s="31">
        <f>E16*$F$9</f>
        <v>2606.03536128</v>
      </c>
      <c r="G16" s="31">
        <f>E16*$G$9</f>
        <v>194.50594175999998</v>
      </c>
      <c r="H16" s="31">
        <f>E16*$H$9</f>
        <v>232.3743552</v>
      </c>
      <c r="I16" s="31">
        <f>E16*$I$9</f>
        <v>4088.0673599999996</v>
      </c>
      <c r="J16" s="31">
        <f>E16+F16+G16+H16+I16</f>
        <v>15727.44061824</v>
      </c>
      <c r="K16" s="31">
        <f>J16*$K$9</f>
        <v>47.182321854720001</v>
      </c>
      <c r="L16" s="32">
        <f>J16+K16</f>
        <v>15774.62294009472</v>
      </c>
      <c r="M16" s="31">
        <f>L16*$M$9</f>
        <v>3154.9245880189442</v>
      </c>
      <c r="N16" s="32">
        <f>L16+M16</f>
        <v>18929.547528113664</v>
      </c>
      <c r="O16" s="31">
        <f>N16/$E$5/12</f>
        <v>0.25009469644032178</v>
      </c>
      <c r="P16" s="27">
        <f>(0.24*1.055)*1.045</f>
        <v>0.26459399999999994</v>
      </c>
    </row>
    <row r="17" spans="1:16" ht="33.75" customHeight="1" x14ac:dyDescent="0.25">
      <c r="A17" s="28" t="s">
        <v>112</v>
      </c>
      <c r="B17" s="29">
        <f>'[4]4 категория'!U50</f>
        <v>1541</v>
      </c>
      <c r="C17" s="29">
        <v>10000</v>
      </c>
      <c r="D17" s="31">
        <f>B17/C17</f>
        <v>0.15409999999999999</v>
      </c>
      <c r="E17" s="30">
        <f>$E$9*D17*12</f>
        <v>23654.966399999998</v>
      </c>
      <c r="F17" s="31">
        <f>E17*$F$9</f>
        <v>7162.7238259199994</v>
      </c>
      <c r="G17" s="31">
        <f>E17*$G$9</f>
        <v>534.60224063999988</v>
      </c>
      <c r="H17" s="31">
        <f>E17*$H$9</f>
        <v>638.68409279999992</v>
      </c>
      <c r="I17" s="31">
        <f>E17*$I$9</f>
        <v>11236.109039999998</v>
      </c>
      <c r="J17" s="31">
        <f>E17+F17+G17+H17+I17</f>
        <v>43227.085599359991</v>
      </c>
      <c r="K17" s="31">
        <f>J17*$K$9</f>
        <v>129.68125679807997</v>
      </c>
      <c r="L17" s="32">
        <f>J17+K17</f>
        <v>43356.766856158072</v>
      </c>
      <c r="M17" s="31">
        <f>L17*$M$9</f>
        <v>8671.3533712316148</v>
      </c>
      <c r="N17" s="32">
        <f>L17+M17</f>
        <v>52028.120227389685</v>
      </c>
      <c r="O17" s="31">
        <f>N17/$E$5/12</f>
        <v>0.68738869301046812</v>
      </c>
      <c r="P17" s="27">
        <f>(0.73*1.055)*1.045</f>
        <v>0.80480674999999979</v>
      </c>
    </row>
    <row r="18" spans="1:16" ht="15" x14ac:dyDescent="0.2">
      <c r="A18" s="33" t="s">
        <v>22</v>
      </c>
      <c r="B18" s="32"/>
      <c r="C18" s="32"/>
      <c r="D18" s="32">
        <f>SUM(D13:D17)</f>
        <v>0.467142266824085</v>
      </c>
      <c r="E18" s="32">
        <f>SUM(E13:E17)</f>
        <v>71708.206526564347</v>
      </c>
      <c r="F18" s="32">
        <f t="shared" ref="F18:O18" si="11">SUM(F13:F17)</f>
        <v>21713.244936243682</v>
      </c>
      <c r="G18" s="32">
        <f t="shared" si="11"/>
        <v>1620.6054675003543</v>
      </c>
      <c r="H18" s="32">
        <f t="shared" si="11"/>
        <v>1936.1215762172374</v>
      </c>
      <c r="I18" s="32">
        <f t="shared" si="11"/>
        <v>34061.398100118058</v>
      </c>
      <c r="J18" s="32">
        <f t="shared" si="11"/>
        <v>131039.57660664368</v>
      </c>
      <c r="K18" s="32">
        <f t="shared" si="11"/>
        <v>393.11872981993105</v>
      </c>
      <c r="L18" s="32">
        <f t="shared" si="11"/>
        <v>131432.6953364636</v>
      </c>
      <c r="M18" s="32">
        <f t="shared" si="11"/>
        <v>26286.539067292724</v>
      </c>
      <c r="N18" s="32">
        <f t="shared" si="11"/>
        <v>157719.23440375633</v>
      </c>
      <c r="O18" s="32">
        <f t="shared" si="11"/>
        <v>2.0837658159776455</v>
      </c>
      <c r="P18" s="27">
        <f>P13+P14+P16+P17</f>
        <v>2.3444574999999999</v>
      </c>
    </row>
    <row r="19" spans="1:16" ht="15" x14ac:dyDescent="0.25">
      <c r="A19" s="172" t="s">
        <v>23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34"/>
    </row>
    <row r="20" spans="1:16" ht="45" x14ac:dyDescent="0.25">
      <c r="A20" s="28" t="s">
        <v>24</v>
      </c>
      <c r="B20" s="29">
        <f>'[4]4 категория'!N50</f>
        <v>295</v>
      </c>
      <c r="C20" s="29"/>
      <c r="D20" s="32">
        <v>0.46</v>
      </c>
      <c r="E20" s="30">
        <f>E9*D20*12</f>
        <v>70611.840000000011</v>
      </c>
      <c r="F20" s="31">
        <f>E20*F9</f>
        <v>21381.265152000004</v>
      </c>
      <c r="G20" s="31">
        <f>E20*G9</f>
        <v>1595.8275840000001</v>
      </c>
      <c r="H20" s="31">
        <f>E20*H9</f>
        <v>1906.5196800000003</v>
      </c>
      <c r="I20" s="31">
        <f>E20*I9</f>
        <v>33540.624000000003</v>
      </c>
      <c r="J20" s="31">
        <f>E20+F20+G20+H20+I20</f>
        <v>129036.07641600003</v>
      </c>
      <c r="K20" s="31">
        <f>J20*K9</f>
        <v>387.1082292480001</v>
      </c>
      <c r="L20" s="31">
        <f>J20+K20</f>
        <v>129423.18464524802</v>
      </c>
      <c r="M20" s="31">
        <f>L20*M9</f>
        <v>25884.636929049608</v>
      </c>
      <c r="N20" s="32">
        <f>L20+M20</f>
        <v>155307.82157429762</v>
      </c>
      <c r="O20" s="31">
        <f>N20/$E$5/12</f>
        <v>2.0519065462999055</v>
      </c>
      <c r="P20" s="31">
        <f>2.18*1.045</f>
        <v>2.2780999999999998</v>
      </c>
    </row>
    <row r="21" spans="1:16" ht="15" x14ac:dyDescent="0.25">
      <c r="A21" s="33" t="s">
        <v>26</v>
      </c>
      <c r="B21" s="36"/>
      <c r="C21" s="36"/>
      <c r="D21" s="36"/>
      <c r="E21" s="35">
        <f>E18+E20</f>
        <v>142320.04652656434</v>
      </c>
      <c r="F21" s="35">
        <f t="shared" ref="F21:O21" si="12">F18+F20</f>
        <v>43094.510088243682</v>
      </c>
      <c r="G21" s="35">
        <f t="shared" si="12"/>
        <v>3216.4330515003544</v>
      </c>
      <c r="H21" s="35">
        <f t="shared" si="12"/>
        <v>3842.6412562172377</v>
      </c>
      <c r="I21" s="35">
        <f t="shared" si="12"/>
        <v>67602.022100118062</v>
      </c>
      <c r="J21" s="35">
        <f t="shared" si="12"/>
        <v>260075.6530226437</v>
      </c>
      <c r="K21" s="35">
        <f t="shared" si="12"/>
        <v>780.22695906793115</v>
      </c>
      <c r="L21" s="35">
        <f t="shared" si="12"/>
        <v>260855.87998171162</v>
      </c>
      <c r="M21" s="35">
        <f t="shared" si="12"/>
        <v>52171.175996342332</v>
      </c>
      <c r="N21" s="35">
        <f t="shared" si="12"/>
        <v>313027.05597805395</v>
      </c>
      <c r="O21" s="35">
        <f t="shared" si="12"/>
        <v>4.1356723622775515</v>
      </c>
      <c r="P21" s="31">
        <f>P18+P20</f>
        <v>4.6225574999999992</v>
      </c>
    </row>
    <row r="22" spans="1:16" ht="14.25" x14ac:dyDescent="0.2">
      <c r="A22" s="39"/>
      <c r="B22" s="40"/>
      <c r="C22" s="40"/>
      <c r="D22" s="40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</row>
    <row r="23" spans="1:16" ht="14.25" hidden="1" customHeight="1" x14ac:dyDescent="0.3">
      <c r="A23" s="39"/>
      <c r="B23" s="40"/>
      <c r="C23" s="40"/>
      <c r="D23" s="40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</row>
    <row r="24" spans="1:16" ht="14.25" hidden="1" customHeight="1" x14ac:dyDescent="0.3">
      <c r="A24" s="39"/>
      <c r="B24" s="40"/>
      <c r="C24" s="40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</row>
    <row r="25" spans="1:16" ht="12.75" hidden="1" customHeight="1" x14ac:dyDescent="0.25">
      <c r="A25" s="157" t="s">
        <v>2</v>
      </c>
      <c r="B25" s="185" t="s">
        <v>3</v>
      </c>
      <c r="C25" s="185" t="s">
        <v>4</v>
      </c>
      <c r="D25" s="186" t="s">
        <v>5</v>
      </c>
      <c r="E25" s="161" t="s">
        <v>31</v>
      </c>
      <c r="F25" s="141" t="s">
        <v>7</v>
      </c>
      <c r="G25" s="158" t="s">
        <v>8</v>
      </c>
      <c r="H25" s="158" t="s">
        <v>9</v>
      </c>
      <c r="I25" s="158" t="s">
        <v>32</v>
      </c>
      <c r="J25" s="183" t="s">
        <v>11</v>
      </c>
      <c r="K25" s="158" t="s">
        <v>12</v>
      </c>
      <c r="L25" s="184" t="s">
        <v>87</v>
      </c>
      <c r="M25" s="158" t="s">
        <v>14</v>
      </c>
      <c r="N25" s="178" t="s">
        <v>34</v>
      </c>
      <c r="O25" s="144" t="s">
        <v>16</v>
      </c>
      <c r="P25" s="144" t="s">
        <v>16</v>
      </c>
    </row>
    <row r="26" spans="1:16" ht="58.5" hidden="1" customHeight="1" x14ac:dyDescent="0.25">
      <c r="A26" s="157"/>
      <c r="B26" s="185"/>
      <c r="C26" s="185"/>
      <c r="D26" s="186"/>
      <c r="E26" s="162"/>
      <c r="F26" s="142"/>
      <c r="G26" s="182"/>
      <c r="H26" s="159"/>
      <c r="I26" s="159"/>
      <c r="J26" s="183"/>
      <c r="K26" s="159"/>
      <c r="L26" s="184"/>
      <c r="M26" s="159"/>
      <c r="N26" s="178"/>
      <c r="O26" s="144"/>
      <c r="P26" s="144"/>
    </row>
    <row r="27" spans="1:16" ht="15" hidden="1" customHeight="1" x14ac:dyDescent="0.25">
      <c r="A27" s="157"/>
      <c r="B27" s="185"/>
      <c r="C27" s="185"/>
      <c r="D27" s="186"/>
      <c r="E27" s="43">
        <v>15724</v>
      </c>
      <c r="F27" s="44">
        <v>0.30280000000000001</v>
      </c>
      <c r="G27" s="45">
        <v>2.2599999999999999E-2</v>
      </c>
      <c r="H27" s="22">
        <v>2.7E-2</v>
      </c>
      <c r="I27" s="22">
        <v>0.47499999999999998</v>
      </c>
      <c r="J27" s="183"/>
      <c r="K27" s="22">
        <v>3.0000000000000001E-3</v>
      </c>
      <c r="L27" s="184"/>
      <c r="M27" s="23">
        <v>0.2</v>
      </c>
      <c r="N27" s="178"/>
      <c r="O27" s="144"/>
      <c r="P27" s="144"/>
    </row>
    <row r="28" spans="1:16" ht="14.25" hidden="1" customHeight="1" x14ac:dyDescent="0.3">
      <c r="A28" s="157"/>
      <c r="B28" s="46">
        <v>1</v>
      </c>
      <c r="C28" s="46">
        <v>2</v>
      </c>
      <c r="D28" s="46">
        <v>3</v>
      </c>
      <c r="E28" s="46">
        <v>4</v>
      </c>
      <c r="F28" s="46">
        <v>5</v>
      </c>
      <c r="G28" s="46">
        <v>6</v>
      </c>
      <c r="H28" s="46">
        <v>7</v>
      </c>
      <c r="I28" s="46">
        <v>8</v>
      </c>
      <c r="J28" s="46">
        <v>9</v>
      </c>
      <c r="K28" s="47">
        <v>10</v>
      </c>
      <c r="L28" s="46">
        <v>11</v>
      </c>
      <c r="M28" s="47">
        <v>12</v>
      </c>
      <c r="N28" s="46">
        <v>13</v>
      </c>
      <c r="O28" s="46">
        <v>14</v>
      </c>
      <c r="P28" s="46">
        <v>14</v>
      </c>
    </row>
    <row r="29" spans="1:16" ht="15" x14ac:dyDescent="0.25">
      <c r="A29" s="26" t="s">
        <v>114</v>
      </c>
      <c r="B29" s="29">
        <f>'[4]4 категория'!M50</f>
        <v>154</v>
      </c>
      <c r="C29" s="29">
        <v>2504</v>
      </c>
      <c r="D29" s="31">
        <f>B29/C29*0.2</f>
        <v>1.2300319488817893E-2</v>
      </c>
      <c r="E29" s="30">
        <f>D29*$E$27*12</f>
        <v>2320.9226837060705</v>
      </c>
      <c r="F29" s="31">
        <f>E29*$F$27</f>
        <v>702.77538862619815</v>
      </c>
      <c r="G29" s="31">
        <f>E29*$G$27</f>
        <v>52.45285265175719</v>
      </c>
      <c r="H29" s="31">
        <f>E29*$H$27</f>
        <v>62.664912460063903</v>
      </c>
      <c r="I29" s="31">
        <f>E29*$I$27</f>
        <v>1102.4382747603834</v>
      </c>
      <c r="J29" s="31">
        <f>SUM(E29:I29)</f>
        <v>4241.2541122044731</v>
      </c>
      <c r="K29" s="31">
        <f>J29*$K$27</f>
        <v>12.72376233661342</v>
      </c>
      <c r="L29" s="31">
        <f>SUM(J29:K29)</f>
        <v>4253.9778745410867</v>
      </c>
      <c r="M29" s="31">
        <f>L29*$M$27</f>
        <v>850.79557490821742</v>
      </c>
      <c r="N29" s="31">
        <f>SUM(L29:M29)</f>
        <v>5104.7734494493043</v>
      </c>
      <c r="O29" s="31">
        <f>N29/$E$5/12</f>
        <v>6.7443596543475301E-2</v>
      </c>
      <c r="P29" s="27">
        <f>((O29*1.04)*1.055)*1.045</f>
        <v>7.7329074263238637E-2</v>
      </c>
    </row>
    <row r="30" spans="1:16" ht="15" x14ac:dyDescent="0.25">
      <c r="A30" s="26" t="s">
        <v>116</v>
      </c>
      <c r="B30" s="48">
        <f>'[4]4 категория'!L50</f>
        <v>43</v>
      </c>
      <c r="C30" s="29">
        <v>2504</v>
      </c>
      <c r="D30" s="31">
        <f>B30/C30*0.59*4</f>
        <v>4.0527156549520764E-2</v>
      </c>
      <c r="E30" s="30">
        <f>D30*$E$27*12</f>
        <v>7646.9881150159736</v>
      </c>
      <c r="F30" s="31">
        <f>E30*$F$27</f>
        <v>2315.5080012268368</v>
      </c>
      <c r="G30" s="31">
        <f>E30*$G$27</f>
        <v>172.82193139936098</v>
      </c>
      <c r="H30" s="31">
        <f>E30*$H$27</f>
        <v>206.46867910543128</v>
      </c>
      <c r="I30" s="31">
        <f>E30*$I$27</f>
        <v>3632.3193546325874</v>
      </c>
      <c r="J30" s="31">
        <f>SUM(E30:I30)</f>
        <v>13974.106081380191</v>
      </c>
      <c r="K30" s="31">
        <f>J30*$K$27</f>
        <v>41.92231824414057</v>
      </c>
      <c r="L30" s="31">
        <f>SUM(J30:K30)</f>
        <v>14016.028399624331</v>
      </c>
      <c r="M30" s="31">
        <f>L30*$M$27</f>
        <v>2803.2056799248662</v>
      </c>
      <c r="N30" s="31">
        <f>SUM(L30:M30)</f>
        <v>16819.234079549198</v>
      </c>
      <c r="O30" s="31">
        <f>N30/$E$5/12</f>
        <v>0.22221351224778804</v>
      </c>
      <c r="P30" s="27">
        <f>((O30*1.04)*1.055)*1.045</f>
        <v>0.25478423559199531</v>
      </c>
    </row>
    <row r="31" spans="1:16" ht="15" x14ac:dyDescent="0.2">
      <c r="A31" s="33" t="s">
        <v>35</v>
      </c>
      <c r="B31" s="33"/>
      <c r="C31" s="33"/>
      <c r="D31" s="49">
        <f>SUM(D29:D30)</f>
        <v>5.2827476038338657E-2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49">
        <f>SUM(O29:O30)</f>
        <v>0.28965710879126333</v>
      </c>
      <c r="P31" s="27">
        <f>P29+P30</f>
        <v>0.33211330985523396</v>
      </c>
    </row>
    <row r="32" spans="1:16" ht="15" x14ac:dyDescent="0.25">
      <c r="A32" s="179" t="s">
        <v>36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1"/>
      <c r="P32" s="34"/>
    </row>
    <row r="33" spans="1:16" ht="12.75" hidden="1" customHeight="1" x14ac:dyDescent="0.25">
      <c r="A33" s="157" t="s">
        <v>2</v>
      </c>
      <c r="B33" s="158" t="s">
        <v>3</v>
      </c>
      <c r="C33" s="158" t="s">
        <v>4</v>
      </c>
      <c r="D33" s="158" t="s">
        <v>5</v>
      </c>
      <c r="E33" s="161" t="s">
        <v>31</v>
      </c>
      <c r="F33" s="163" t="s">
        <v>7</v>
      </c>
      <c r="G33" s="165" t="s">
        <v>8</v>
      </c>
      <c r="H33" s="165" t="s">
        <v>9</v>
      </c>
      <c r="I33" s="165" t="s">
        <v>32</v>
      </c>
      <c r="J33" s="158" t="s">
        <v>11</v>
      </c>
      <c r="K33" s="158" t="s">
        <v>12</v>
      </c>
      <c r="L33" s="167" t="s">
        <v>90</v>
      </c>
      <c r="M33" s="158" t="s">
        <v>14</v>
      </c>
      <c r="N33" s="167" t="s">
        <v>34</v>
      </c>
      <c r="O33" s="141" t="s">
        <v>16</v>
      </c>
      <c r="P33" s="141" t="s">
        <v>16</v>
      </c>
    </row>
    <row r="34" spans="1:16" ht="58.5" hidden="1" customHeight="1" x14ac:dyDescent="0.25">
      <c r="A34" s="157"/>
      <c r="B34" s="159"/>
      <c r="C34" s="159"/>
      <c r="D34" s="159"/>
      <c r="E34" s="162"/>
      <c r="F34" s="164"/>
      <c r="G34" s="166"/>
      <c r="H34" s="177"/>
      <c r="I34" s="177"/>
      <c r="J34" s="159"/>
      <c r="K34" s="159"/>
      <c r="L34" s="168"/>
      <c r="M34" s="159"/>
      <c r="N34" s="168"/>
      <c r="O34" s="142"/>
      <c r="P34" s="142"/>
    </row>
    <row r="35" spans="1:16" ht="16.5" hidden="1" customHeight="1" x14ac:dyDescent="0.25">
      <c r="A35" s="157"/>
      <c r="B35" s="160"/>
      <c r="C35" s="160"/>
      <c r="D35" s="160"/>
      <c r="E35" s="18">
        <v>15458</v>
      </c>
      <c r="F35" s="19">
        <v>0.30280000000000001</v>
      </c>
      <c r="G35" s="50">
        <v>0.19400000000000001</v>
      </c>
      <c r="H35" s="104">
        <v>0.16</v>
      </c>
      <c r="I35" s="104">
        <v>0.47499999999999998</v>
      </c>
      <c r="J35" s="160"/>
      <c r="K35" s="22">
        <v>3.0000000000000001E-3</v>
      </c>
      <c r="L35" s="169"/>
      <c r="M35" s="23">
        <v>0.2</v>
      </c>
      <c r="N35" s="169"/>
      <c r="O35" s="143"/>
      <c r="P35" s="143"/>
    </row>
    <row r="36" spans="1:16" ht="14.25" hidden="1" customHeight="1" x14ac:dyDescent="0.3">
      <c r="A36" s="157"/>
      <c r="B36" s="24">
        <v>1</v>
      </c>
      <c r="C36" s="24">
        <v>2</v>
      </c>
      <c r="D36" s="24">
        <v>3</v>
      </c>
      <c r="E36" s="24">
        <v>4</v>
      </c>
      <c r="F36" s="24">
        <v>5</v>
      </c>
      <c r="G36" s="24">
        <v>6</v>
      </c>
      <c r="H36" s="24">
        <v>7</v>
      </c>
      <c r="I36" s="24">
        <v>8</v>
      </c>
      <c r="J36" s="24">
        <v>9</v>
      </c>
      <c r="K36" s="24">
        <v>10</v>
      </c>
      <c r="L36" s="24">
        <v>11</v>
      </c>
      <c r="M36" s="24">
        <v>12</v>
      </c>
      <c r="N36" s="24">
        <v>13</v>
      </c>
      <c r="O36" s="24">
        <v>14</v>
      </c>
      <c r="P36" s="24">
        <v>14</v>
      </c>
    </row>
    <row r="37" spans="1:16" ht="15" x14ac:dyDescent="0.25">
      <c r="A37" s="51" t="s">
        <v>91</v>
      </c>
      <c r="B37" s="52" t="s">
        <v>18</v>
      </c>
      <c r="C37" s="52" t="s">
        <v>18</v>
      </c>
      <c r="D37" s="53">
        <f>'[4]4 категория'!K50*64%</f>
        <v>0.30719999999999997</v>
      </c>
      <c r="E37" s="52">
        <f>D37*E35*12</f>
        <v>56984.371199999994</v>
      </c>
      <c r="F37" s="52">
        <f>E37*$F$35</f>
        <v>17254.867599359997</v>
      </c>
      <c r="G37" s="52">
        <f>E37*$G$35</f>
        <v>11054.9680128</v>
      </c>
      <c r="H37" s="52">
        <f>E37*$H$35</f>
        <v>9117.4993919999997</v>
      </c>
      <c r="I37" s="52">
        <f>E37*$I$35</f>
        <v>27067.576319999996</v>
      </c>
      <c r="J37" s="52">
        <f>SUM(E37:I37)</f>
        <v>121479.28252415999</v>
      </c>
      <c r="K37" s="52">
        <f>J37*$K$35</f>
        <v>364.43784757248</v>
      </c>
      <c r="L37" s="52">
        <f>SUM(J37:K37)</f>
        <v>121843.72037173247</v>
      </c>
      <c r="M37" s="52">
        <f>L37*$M$35</f>
        <v>24368.744074346498</v>
      </c>
      <c r="N37" s="52">
        <f>SUM(L37:M37)</f>
        <v>146212.46444607899</v>
      </c>
      <c r="O37" s="52">
        <f>N37/$E$5/12</f>
        <v>1.9317398821670289</v>
      </c>
      <c r="P37" s="27">
        <f>((O37*1.04)*1.055)*1.045</f>
        <v>2.2148827236557791</v>
      </c>
    </row>
    <row r="38" spans="1:16" ht="15" x14ac:dyDescent="0.25">
      <c r="A38" s="179" t="s">
        <v>39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34"/>
    </row>
    <row r="39" spans="1:16" ht="12.75" customHeight="1" x14ac:dyDescent="0.25">
      <c r="A39" s="190" t="s">
        <v>40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71"/>
    </row>
    <row r="40" spans="1:16" ht="15" x14ac:dyDescent="0.25">
      <c r="A40" s="55" t="s">
        <v>41</v>
      </c>
      <c r="B40" s="187" t="s">
        <v>42</v>
      </c>
      <c r="C40" s="188"/>
      <c r="D40" s="59">
        <v>0.17699999999999999</v>
      </c>
      <c r="E40" s="52">
        <f>D40*$E$35*12</f>
        <v>32832.792000000001</v>
      </c>
      <c r="F40" s="52">
        <f>E40*$F$35</f>
        <v>9941.7694176000005</v>
      </c>
      <c r="G40" s="52">
        <f>E40*$G$35</f>
        <v>6369.5616480000008</v>
      </c>
      <c r="H40" s="52">
        <f>E40*$H$35</f>
        <v>5253.2467200000001</v>
      </c>
      <c r="I40" s="52">
        <f>E40*$I$35</f>
        <v>15595.5762</v>
      </c>
      <c r="J40" s="52">
        <f>SUM(E40:I40)</f>
        <v>69992.945985600003</v>
      </c>
      <c r="K40" s="52">
        <f>J40*$K$35</f>
        <v>209.97883795680002</v>
      </c>
      <c r="L40" s="52">
        <f>SUM(J40:K40)</f>
        <v>70202.924823556808</v>
      </c>
      <c r="M40" s="52">
        <f>L40*$M$35</f>
        <v>14040.584964711363</v>
      </c>
      <c r="N40" s="52">
        <f>SUM(L40:M40)</f>
        <v>84243.509788268173</v>
      </c>
      <c r="O40" s="52">
        <f>N40/$E$5/12</f>
        <v>1.1130141899204562</v>
      </c>
      <c r="P40" s="27">
        <v>1.27</v>
      </c>
    </row>
    <row r="41" spans="1:16" ht="15" x14ac:dyDescent="0.25">
      <c r="A41" s="55" t="s">
        <v>43</v>
      </c>
      <c r="B41" s="187" t="s">
        <v>42</v>
      </c>
      <c r="C41" s="188"/>
      <c r="D41" s="55">
        <v>1.5599999999999999E-2</v>
      </c>
      <c r="E41" s="52">
        <f>D41*$E$35*12</f>
        <v>2893.7375999999995</v>
      </c>
      <c r="F41" s="52">
        <f t="shared" ref="F41:F42" si="13">E41*$F$35</f>
        <v>876.22374527999989</v>
      </c>
      <c r="G41" s="52">
        <f t="shared" ref="G41:G42" si="14">E41*$G$35</f>
        <v>561.38509439999996</v>
      </c>
      <c r="H41" s="52">
        <f t="shared" ref="H41:H42" si="15">E41*$H$35</f>
        <v>462.99801599999995</v>
      </c>
      <c r="I41" s="52">
        <f t="shared" ref="I41:I42" si="16">E41*$I$35</f>
        <v>1374.5253599999996</v>
      </c>
      <c r="J41" s="52">
        <f t="shared" ref="J41:J42" si="17">SUM(E41:I41)</f>
        <v>6168.8698156799983</v>
      </c>
      <c r="K41" s="52">
        <f t="shared" ref="K41:K42" si="18">J41*$K$35</f>
        <v>18.506609447039995</v>
      </c>
      <c r="L41" s="52">
        <f t="shared" ref="L41:L42" si="19">SUM(J41:K41)</f>
        <v>6187.3764251270386</v>
      </c>
      <c r="M41" s="52">
        <f t="shared" ref="M41:M42" si="20">L41*$M$35</f>
        <v>1237.4752850254079</v>
      </c>
      <c r="N41" s="52">
        <f t="shared" ref="N41:N42" si="21">SUM(L41:M41)</f>
        <v>7424.8517101524467</v>
      </c>
      <c r="O41" s="52">
        <f t="shared" ref="O41:O42" si="22">N41/$E$5/12</f>
        <v>9.8096165891294426E-2</v>
      </c>
      <c r="P41" s="27">
        <f>((O41*1.04)*1.055)*1.045</f>
        <v>0.11247451331064499</v>
      </c>
    </row>
    <row r="42" spans="1:16" ht="15" x14ac:dyDescent="0.25">
      <c r="A42" s="58" t="s">
        <v>44</v>
      </c>
      <c r="B42" s="187" t="s">
        <v>30</v>
      </c>
      <c r="C42" s="188"/>
      <c r="D42" s="59">
        <v>1.2999999999999999E-2</v>
      </c>
      <c r="E42" s="52">
        <f>D42*$E$35*12</f>
        <v>2411.4479999999999</v>
      </c>
      <c r="F42" s="52">
        <f t="shared" si="13"/>
        <v>730.1864544</v>
      </c>
      <c r="G42" s="52">
        <f t="shared" si="14"/>
        <v>467.82091199999996</v>
      </c>
      <c r="H42" s="52">
        <f t="shared" si="15"/>
        <v>385.83168000000001</v>
      </c>
      <c r="I42" s="52">
        <f t="shared" si="16"/>
        <v>1145.4377999999999</v>
      </c>
      <c r="J42" s="52">
        <f t="shared" si="17"/>
        <v>5140.7248463999995</v>
      </c>
      <c r="K42" s="52">
        <f t="shared" si="18"/>
        <v>15.422174539199998</v>
      </c>
      <c r="L42" s="52">
        <f t="shared" si="19"/>
        <v>5156.1470209391991</v>
      </c>
      <c r="M42" s="52">
        <f t="shared" si="20"/>
        <v>1031.2294041878399</v>
      </c>
      <c r="N42" s="52">
        <f t="shared" si="21"/>
        <v>6187.3764251270386</v>
      </c>
      <c r="O42" s="52">
        <f t="shared" si="22"/>
        <v>8.174680490941201E-2</v>
      </c>
      <c r="P42" s="27">
        <f>((O42*1.04)*1.055)*1.045</f>
        <v>9.3728761092204155E-2</v>
      </c>
    </row>
    <row r="43" spans="1:16" ht="12.75" customHeight="1" x14ac:dyDescent="0.25">
      <c r="A43" s="189" t="s">
        <v>45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52"/>
    </row>
    <row r="44" spans="1:16" ht="15" x14ac:dyDescent="0.25">
      <c r="A44" s="58" t="s">
        <v>46</v>
      </c>
      <c r="B44" s="187" t="s">
        <v>30</v>
      </c>
      <c r="C44" s="188"/>
      <c r="D44" s="59">
        <v>2E-3</v>
      </c>
      <c r="E44" s="52">
        <f>D44*$E$35*12</f>
        <v>370.99200000000002</v>
      </c>
      <c r="F44" s="52">
        <f>E44*$F$35</f>
        <v>112.33637760000001</v>
      </c>
      <c r="G44" s="52">
        <f>E44*$G$35</f>
        <v>71.972448</v>
      </c>
      <c r="H44" s="52">
        <f>E44*$H$35</f>
        <v>59.358720000000005</v>
      </c>
      <c r="I44" s="52">
        <f>E44*$I$35</f>
        <v>176.22120000000001</v>
      </c>
      <c r="J44" s="52">
        <f>SUM(E44:I44)</f>
        <v>790.88074559999995</v>
      </c>
      <c r="K44" s="52">
        <f>J44*$K$35</f>
        <v>2.3726422368</v>
      </c>
      <c r="L44" s="52">
        <f>SUM(J44:K44)</f>
        <v>793.2533878367999</v>
      </c>
      <c r="M44" s="52">
        <f>L44*$M$35</f>
        <v>158.65067756735999</v>
      </c>
      <c r="N44" s="52">
        <f>SUM(L44:M44)</f>
        <v>951.90406540415984</v>
      </c>
      <c r="O44" s="52">
        <f>N44/$E$5/12</f>
        <v>1.2576431524524924E-2</v>
      </c>
      <c r="P44" s="27">
        <f>((O44*1.04)*1.055)*1.045</f>
        <v>1.4419809398800639E-2</v>
      </c>
    </row>
    <row r="45" spans="1:16" ht="12.75" customHeight="1" x14ac:dyDescent="0.25">
      <c r="A45" s="58" t="s">
        <v>47</v>
      </c>
      <c r="B45" s="187" t="s">
        <v>30</v>
      </c>
      <c r="C45" s="188"/>
      <c r="D45" s="59">
        <v>3.0000000000000001E-3</v>
      </c>
      <c r="E45" s="52">
        <f t="shared" ref="E45:E48" si="23">D45*$E$35*12</f>
        <v>556.48800000000006</v>
      </c>
      <c r="F45" s="52">
        <f t="shared" ref="F45:F48" si="24">E45*$F$35</f>
        <v>168.50456640000002</v>
      </c>
      <c r="G45" s="52">
        <f t="shared" ref="G45:G48" si="25">E45*$G$35</f>
        <v>107.95867200000001</v>
      </c>
      <c r="H45" s="52">
        <f t="shared" ref="H45:H48" si="26">E45*$H$35</f>
        <v>89.038080000000008</v>
      </c>
      <c r="I45" s="52">
        <f t="shared" ref="I45:I48" si="27">E45*$I$35</f>
        <v>264.33179999999999</v>
      </c>
      <c r="J45" s="52">
        <f t="shared" ref="J45:J48" si="28">SUM(E45:I45)</f>
        <v>1186.3211184000002</v>
      </c>
      <c r="K45" s="52">
        <f t="shared" ref="K45:K48" si="29">J45*$K$35</f>
        <v>3.5589633552000004</v>
      </c>
      <c r="L45" s="52">
        <f t="shared" ref="L45:L48" si="30">SUM(J45:K45)</f>
        <v>1189.8800817552001</v>
      </c>
      <c r="M45" s="52">
        <f t="shared" ref="M45:M48" si="31">L45*$M$35</f>
        <v>237.97601635104002</v>
      </c>
      <c r="N45" s="52">
        <f t="shared" ref="N45:N48" si="32">SUM(L45:M45)</f>
        <v>1427.8560981062401</v>
      </c>
      <c r="O45" s="52">
        <f t="shared" ref="O45:O48" si="33">N45/$E$5/12</f>
        <v>1.8864647286787394E-2</v>
      </c>
      <c r="P45" s="27">
        <f>((O45*1.04)*1.055)*1.045</f>
        <v>2.1629714098200966E-2</v>
      </c>
    </row>
    <row r="46" spans="1:16" ht="15" x14ac:dyDescent="0.25">
      <c r="A46" s="58" t="s">
        <v>48</v>
      </c>
      <c r="B46" s="187" t="s">
        <v>30</v>
      </c>
      <c r="C46" s="188"/>
      <c r="D46" s="59">
        <v>1.0999999999999999E-2</v>
      </c>
      <c r="E46" s="52">
        <f t="shared" si="23"/>
        <v>2040.4559999999997</v>
      </c>
      <c r="F46" s="52">
        <f t="shared" si="24"/>
        <v>617.8500767999999</v>
      </c>
      <c r="G46" s="52">
        <f t="shared" si="25"/>
        <v>395.84846399999992</v>
      </c>
      <c r="H46" s="52">
        <f t="shared" si="26"/>
        <v>326.47295999999994</v>
      </c>
      <c r="I46" s="52">
        <f t="shared" si="27"/>
        <v>969.21659999999986</v>
      </c>
      <c r="J46" s="52">
        <f t="shared" si="28"/>
        <v>4349.8441007999991</v>
      </c>
      <c r="K46" s="52">
        <f t="shared" si="29"/>
        <v>13.049532302399998</v>
      </c>
      <c r="L46" s="52">
        <f t="shared" si="30"/>
        <v>4362.8936331023988</v>
      </c>
      <c r="M46" s="52">
        <f t="shared" si="31"/>
        <v>872.57872662047976</v>
      </c>
      <c r="N46" s="52">
        <f t="shared" si="32"/>
        <v>5235.4723597228785</v>
      </c>
      <c r="O46" s="52">
        <f t="shared" si="33"/>
        <v>6.9170373384887088E-2</v>
      </c>
      <c r="P46" s="27">
        <f>((O46*1.04)*1.055)*1.045</f>
        <v>7.9308951693403532E-2</v>
      </c>
    </row>
    <row r="47" spans="1:16" ht="15" x14ac:dyDescent="0.25">
      <c r="A47" s="58" t="s">
        <v>49</v>
      </c>
      <c r="B47" s="187" t="s">
        <v>30</v>
      </c>
      <c r="C47" s="188"/>
      <c r="D47" s="59">
        <v>4.0000000000000001E-3</v>
      </c>
      <c r="E47" s="52">
        <f t="shared" si="23"/>
        <v>741.98400000000004</v>
      </c>
      <c r="F47" s="52">
        <f t="shared" si="24"/>
        <v>224.67275520000001</v>
      </c>
      <c r="G47" s="52">
        <f t="shared" si="25"/>
        <v>143.944896</v>
      </c>
      <c r="H47" s="52">
        <f t="shared" si="26"/>
        <v>118.71744000000001</v>
      </c>
      <c r="I47" s="52">
        <f t="shared" si="27"/>
        <v>352.44240000000002</v>
      </c>
      <c r="J47" s="52">
        <f t="shared" si="28"/>
        <v>1581.7614911999999</v>
      </c>
      <c r="K47" s="52">
        <f t="shared" si="29"/>
        <v>4.7452844735999999</v>
      </c>
      <c r="L47" s="52">
        <f t="shared" si="30"/>
        <v>1586.5067756735998</v>
      </c>
      <c r="M47" s="52">
        <f t="shared" si="31"/>
        <v>317.30135513471998</v>
      </c>
      <c r="N47" s="52">
        <f t="shared" si="32"/>
        <v>1903.8081308083197</v>
      </c>
      <c r="O47" s="52">
        <f t="shared" si="33"/>
        <v>2.5152863049049849E-2</v>
      </c>
      <c r="P47" s="27">
        <f>((O47*1.04)*1.055)*1.045</f>
        <v>2.8839618797601278E-2</v>
      </c>
    </row>
    <row r="48" spans="1:16" ht="15" x14ac:dyDescent="0.25">
      <c r="A48" s="58" t="s">
        <v>50</v>
      </c>
      <c r="B48" s="187" t="s">
        <v>30</v>
      </c>
      <c r="C48" s="188"/>
      <c r="D48" s="59">
        <v>2.3E-2</v>
      </c>
      <c r="E48" s="52">
        <f t="shared" si="23"/>
        <v>4266.4079999999994</v>
      </c>
      <c r="F48" s="52">
        <f t="shared" si="24"/>
        <v>1291.8683423999998</v>
      </c>
      <c r="G48" s="52">
        <f t="shared" si="25"/>
        <v>827.68315199999995</v>
      </c>
      <c r="H48" s="52">
        <f t="shared" si="26"/>
        <v>682.62527999999998</v>
      </c>
      <c r="I48" s="52">
        <f t="shared" si="27"/>
        <v>2026.5437999999997</v>
      </c>
      <c r="J48" s="52">
        <f t="shared" si="28"/>
        <v>9095.1285743999997</v>
      </c>
      <c r="K48" s="52">
        <f t="shared" si="29"/>
        <v>27.285385723200001</v>
      </c>
      <c r="L48" s="52">
        <f t="shared" si="30"/>
        <v>9122.4139601232</v>
      </c>
      <c r="M48" s="52">
        <f t="shared" si="31"/>
        <v>1824.48279202464</v>
      </c>
      <c r="N48" s="52">
        <f t="shared" si="32"/>
        <v>10946.896752147841</v>
      </c>
      <c r="O48" s="52">
        <f t="shared" si="33"/>
        <v>0.14462896253203669</v>
      </c>
      <c r="P48" s="27">
        <v>0.16</v>
      </c>
    </row>
    <row r="49" spans="1:18" ht="12.75" customHeight="1" x14ac:dyDescent="0.25">
      <c r="A49" s="189" t="s">
        <v>51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52"/>
    </row>
    <row r="50" spans="1:18" ht="15" x14ac:dyDescent="0.25">
      <c r="A50" s="58" t="s">
        <v>52</v>
      </c>
      <c r="B50" s="187" t="s">
        <v>30</v>
      </c>
      <c r="C50" s="188"/>
      <c r="D50" s="59">
        <v>3.2000000000000001E-2</v>
      </c>
      <c r="E50" s="52">
        <f>D50*$E$35*12</f>
        <v>5935.8720000000003</v>
      </c>
      <c r="F50" s="52">
        <f>E50*$F$35</f>
        <v>1797.3820416000001</v>
      </c>
      <c r="G50" s="52">
        <f>E50*$G$35</f>
        <v>1151.559168</v>
      </c>
      <c r="H50" s="52">
        <f>E50*$H$35</f>
        <v>949.73952000000008</v>
      </c>
      <c r="I50" s="52">
        <f>E50*$I$35</f>
        <v>2819.5392000000002</v>
      </c>
      <c r="J50" s="52">
        <f>SUM(E50:I50)</f>
        <v>12654.091929599999</v>
      </c>
      <c r="K50" s="52">
        <f>J50*$K$35</f>
        <v>37.9622757888</v>
      </c>
      <c r="L50" s="52">
        <f>SUM(J50:K50)</f>
        <v>12692.054205388798</v>
      </c>
      <c r="M50" s="52">
        <f>L50*$M$35</f>
        <v>2538.4108410777599</v>
      </c>
      <c r="N50" s="52">
        <f>SUM(L50:M50)</f>
        <v>15230.465046466557</v>
      </c>
      <c r="O50" s="52">
        <f>N50/$E$5/12</f>
        <v>0.20122290439239879</v>
      </c>
      <c r="P50" s="27">
        <f>((O50*1.04)*1.055)*1.045</f>
        <v>0.23071695038081022</v>
      </c>
    </row>
    <row r="51" spans="1:18" ht="30" x14ac:dyDescent="0.25">
      <c r="A51" s="58" t="s">
        <v>53</v>
      </c>
      <c r="B51" s="187" t="s">
        <v>30</v>
      </c>
      <c r="C51" s="188"/>
      <c r="D51" s="59">
        <v>0.01</v>
      </c>
      <c r="E51" s="52">
        <f t="shared" ref="E51:E52" si="34">D51*$E$35*12</f>
        <v>1854.96</v>
      </c>
      <c r="F51" s="52">
        <f t="shared" ref="F51:F52" si="35">E51*$F$35</f>
        <v>561.68188800000007</v>
      </c>
      <c r="G51" s="52">
        <f t="shared" ref="G51:G52" si="36">E51*$G$35</f>
        <v>359.86224000000004</v>
      </c>
      <c r="H51" s="52">
        <f t="shared" ref="H51:H52" si="37">E51*$H$35</f>
        <v>296.79360000000003</v>
      </c>
      <c r="I51" s="52">
        <f t="shared" ref="I51:I52" si="38">E51*$I$35</f>
        <v>881.10599999999999</v>
      </c>
      <c r="J51" s="52">
        <f t="shared" ref="J51:J52" si="39">SUM(E51:I51)</f>
        <v>3954.4037280000002</v>
      </c>
      <c r="K51" s="52">
        <f t="shared" ref="K51:K52" si="40">J51*$K$35</f>
        <v>11.863211184000001</v>
      </c>
      <c r="L51" s="52">
        <f t="shared" ref="L51:L52" si="41">SUM(J51:K51)</f>
        <v>3966.2669391840004</v>
      </c>
      <c r="M51" s="52">
        <f t="shared" ref="M51:M52" si="42">L51*$M$35</f>
        <v>793.25338783680013</v>
      </c>
      <c r="N51" s="52">
        <f t="shared" ref="N51:N52" si="43">SUM(L51:M51)</f>
        <v>4759.5203270208003</v>
      </c>
      <c r="O51" s="52">
        <f t="shared" ref="O51:O52" si="44">N51/$E$5/12</f>
        <v>6.288215762262464E-2</v>
      </c>
      <c r="P51" s="27">
        <f>((O51*1.04)*1.055)*1.045</f>
        <v>7.2099046994003199E-2</v>
      </c>
    </row>
    <row r="52" spans="1:18" ht="15" x14ac:dyDescent="0.25">
      <c r="A52" s="58" t="s">
        <v>54</v>
      </c>
      <c r="B52" s="187" t="s">
        <v>30</v>
      </c>
      <c r="C52" s="188"/>
      <c r="D52" s="59">
        <v>7.0000000000000007E-2</v>
      </c>
      <c r="E52" s="52">
        <f t="shared" si="34"/>
        <v>12984.720000000001</v>
      </c>
      <c r="F52" s="52">
        <f t="shared" si="35"/>
        <v>3931.7732160000005</v>
      </c>
      <c r="G52" s="52">
        <f t="shared" si="36"/>
        <v>2519.0356800000004</v>
      </c>
      <c r="H52" s="52">
        <f t="shared" si="37"/>
        <v>2077.5552000000002</v>
      </c>
      <c r="I52" s="52">
        <f t="shared" si="38"/>
        <v>6167.7420000000002</v>
      </c>
      <c r="J52" s="52">
        <f t="shared" si="39"/>
        <v>27680.826096000004</v>
      </c>
      <c r="K52" s="52">
        <f t="shared" si="40"/>
        <v>83.042478288000012</v>
      </c>
      <c r="L52" s="52">
        <f t="shared" si="41"/>
        <v>27763.868574288004</v>
      </c>
      <c r="M52" s="52">
        <f t="shared" si="42"/>
        <v>5552.7737148576016</v>
      </c>
      <c r="N52" s="52">
        <f t="shared" si="43"/>
        <v>33316.642289145602</v>
      </c>
      <c r="O52" s="52">
        <f t="shared" si="44"/>
        <v>0.44017510335837251</v>
      </c>
      <c r="P52" s="27">
        <f>((O52*1.04)*1.055)*1.045</f>
        <v>0.50469332895802255</v>
      </c>
    </row>
    <row r="53" spans="1:18" ht="15" x14ac:dyDescent="0.25">
      <c r="A53" s="123" t="s">
        <v>55</v>
      </c>
      <c r="B53" s="187"/>
      <c r="C53" s="188"/>
      <c r="D53" s="57">
        <f>D40+D41+D42+D44+D45+D46+D47+D48+D50+D51+D52</f>
        <v>0.36060000000000003</v>
      </c>
      <c r="E53" s="57">
        <f t="shared" ref="E53:O53" si="45">E40+E41+E42+E44+E45+E46+E47+E48+E50+E51+E52</f>
        <v>66889.857599999988</v>
      </c>
      <c r="F53" s="57">
        <f t="shared" si="45"/>
        <v>20254.24888128</v>
      </c>
      <c r="G53" s="57">
        <f t="shared" si="45"/>
        <v>12976.632374400002</v>
      </c>
      <c r="H53" s="57">
        <f t="shared" si="45"/>
        <v>10702.377216000003</v>
      </c>
      <c r="I53" s="57">
        <f t="shared" si="45"/>
        <v>31772.682359999999</v>
      </c>
      <c r="J53" s="57">
        <f t="shared" si="45"/>
        <v>142595.79843168001</v>
      </c>
      <c r="K53" s="57">
        <f t="shared" si="45"/>
        <v>427.78739529504014</v>
      </c>
      <c r="L53" s="57">
        <f t="shared" si="45"/>
        <v>143023.58582697506</v>
      </c>
      <c r="M53" s="57">
        <f t="shared" si="45"/>
        <v>28604.71716539501</v>
      </c>
      <c r="N53" s="57">
        <f t="shared" si="45"/>
        <v>171628.30299237004</v>
      </c>
      <c r="O53" s="49">
        <f t="shared" si="45"/>
        <v>2.2675306038718448</v>
      </c>
      <c r="P53" s="52">
        <f>P40+P41+P42+P44+P45+P46+P47+P48+P50+P51+P52</f>
        <v>2.5879106947236914</v>
      </c>
    </row>
    <row r="54" spans="1:18" ht="15" x14ac:dyDescent="0.25">
      <c r="A54" s="151" t="s">
        <v>56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3"/>
      <c r="P54" s="52"/>
    </row>
    <row r="55" spans="1:18" ht="15" x14ac:dyDescent="0.25">
      <c r="A55" s="58" t="s">
        <v>57</v>
      </c>
      <c r="B55" s="187" t="s">
        <v>58</v>
      </c>
      <c r="C55" s="188"/>
      <c r="D55" s="59">
        <v>1.6E-2</v>
      </c>
      <c r="E55" s="52">
        <f t="shared" ref="E55:E58" si="46">D55*$E$35*12</f>
        <v>2967.9360000000001</v>
      </c>
      <c r="F55" s="52">
        <f t="shared" ref="F55:F59" si="47">E55*$F$35</f>
        <v>898.69102080000005</v>
      </c>
      <c r="G55" s="52">
        <f t="shared" ref="G55:G59" si="48">E55*$G$35</f>
        <v>575.779584</v>
      </c>
      <c r="H55" s="52">
        <f t="shared" ref="H55:H59" si="49">E55*$H$35</f>
        <v>474.86976000000004</v>
      </c>
      <c r="I55" s="52">
        <f t="shared" ref="I55:I59" si="50">E55*$I$35</f>
        <v>1409.7696000000001</v>
      </c>
      <c r="J55" s="52">
        <f t="shared" ref="J55:J59" si="51">SUM(E55:I55)</f>
        <v>6327.0459647999996</v>
      </c>
      <c r="K55" s="52">
        <f t="shared" ref="K55:K59" si="52">J55*$K$35</f>
        <v>18.9811378944</v>
      </c>
      <c r="L55" s="52">
        <f t="shared" ref="L55:L59" si="53">SUM(J55:K55)</f>
        <v>6346.0271026943992</v>
      </c>
      <c r="M55" s="52">
        <f t="shared" ref="M55:M59" si="54">L55*$M$35</f>
        <v>1269.2054205388799</v>
      </c>
      <c r="N55" s="52">
        <f t="shared" ref="N55:N59" si="55">SUM(L55:M55)</f>
        <v>7615.2325232332787</v>
      </c>
      <c r="O55" s="52">
        <f t="shared" ref="O55:O59" si="56">N55/$E$5/12</f>
        <v>0.10061145219619939</v>
      </c>
      <c r="P55" s="27">
        <f>((O55*1.04)*1.055)*1.045</f>
        <v>0.11535847519040511</v>
      </c>
    </row>
    <row r="56" spans="1:18" ht="22.5" customHeight="1" x14ac:dyDescent="0.25">
      <c r="A56" s="63" t="s">
        <v>59</v>
      </c>
      <c r="B56" s="187" t="s">
        <v>60</v>
      </c>
      <c r="C56" s="188"/>
      <c r="D56" s="59">
        <v>1E-3</v>
      </c>
      <c r="E56" s="52">
        <f t="shared" si="46"/>
        <v>185.49600000000001</v>
      </c>
      <c r="F56" s="52">
        <f t="shared" si="47"/>
        <v>56.168188800000003</v>
      </c>
      <c r="G56" s="52">
        <f t="shared" si="48"/>
        <v>35.986224</v>
      </c>
      <c r="H56" s="52">
        <f t="shared" si="49"/>
        <v>29.679360000000003</v>
      </c>
      <c r="I56" s="52">
        <f t="shared" si="50"/>
        <v>88.110600000000005</v>
      </c>
      <c r="J56" s="52">
        <f t="shared" si="51"/>
        <v>395.44037279999998</v>
      </c>
      <c r="K56" s="52">
        <f t="shared" si="52"/>
        <v>1.1863211184</v>
      </c>
      <c r="L56" s="52">
        <f t="shared" si="53"/>
        <v>396.62669391839995</v>
      </c>
      <c r="M56" s="52">
        <f t="shared" si="54"/>
        <v>79.325338783679996</v>
      </c>
      <c r="N56" s="52">
        <f t="shared" si="55"/>
        <v>475.95203270207992</v>
      </c>
      <c r="O56" s="52">
        <f t="shared" si="56"/>
        <v>6.2882157622624621E-3</v>
      </c>
      <c r="P56" s="27">
        <f>((O56*1.04)*1.055)*1.045</f>
        <v>7.2099046994003194E-3</v>
      </c>
    </row>
    <row r="57" spans="1:18" ht="15" x14ac:dyDescent="0.25">
      <c r="A57" s="58" t="s">
        <v>61</v>
      </c>
      <c r="B57" s="187" t="s">
        <v>60</v>
      </c>
      <c r="C57" s="188"/>
      <c r="D57" s="59">
        <v>4.0000000000000001E-3</v>
      </c>
      <c r="E57" s="52">
        <f t="shared" si="46"/>
        <v>741.98400000000004</v>
      </c>
      <c r="F57" s="52">
        <f t="shared" si="47"/>
        <v>224.67275520000001</v>
      </c>
      <c r="G57" s="52">
        <f t="shared" si="48"/>
        <v>143.944896</v>
      </c>
      <c r="H57" s="52">
        <f t="shared" si="49"/>
        <v>118.71744000000001</v>
      </c>
      <c r="I57" s="52">
        <f t="shared" si="50"/>
        <v>352.44240000000002</v>
      </c>
      <c r="J57" s="52">
        <f t="shared" si="51"/>
        <v>1581.7614911999999</v>
      </c>
      <c r="K57" s="52">
        <f t="shared" si="52"/>
        <v>4.7452844735999999</v>
      </c>
      <c r="L57" s="52">
        <f t="shared" si="53"/>
        <v>1586.5067756735998</v>
      </c>
      <c r="M57" s="52">
        <f t="shared" si="54"/>
        <v>317.30135513471998</v>
      </c>
      <c r="N57" s="52">
        <f t="shared" si="55"/>
        <v>1903.8081308083197</v>
      </c>
      <c r="O57" s="52">
        <f t="shared" si="56"/>
        <v>2.5152863049049849E-2</v>
      </c>
      <c r="P57" s="27">
        <f>((O57*1.04)*1.055)*1.045</f>
        <v>2.8839618797601278E-2</v>
      </c>
      <c r="R57" s="8"/>
    </row>
    <row r="58" spans="1:18" ht="15" x14ac:dyDescent="0.25">
      <c r="A58" s="58" t="s">
        <v>62</v>
      </c>
      <c r="B58" s="187" t="s">
        <v>60</v>
      </c>
      <c r="C58" s="188"/>
      <c r="D58" s="59">
        <v>7.0000000000000001E-3</v>
      </c>
      <c r="E58" s="52">
        <f t="shared" si="46"/>
        <v>1298.472</v>
      </c>
      <c r="F58" s="52">
        <f t="shared" si="47"/>
        <v>393.17732160000003</v>
      </c>
      <c r="G58" s="52">
        <f t="shared" si="48"/>
        <v>251.90356800000001</v>
      </c>
      <c r="H58" s="52">
        <f t="shared" si="49"/>
        <v>207.75551999999999</v>
      </c>
      <c r="I58" s="52">
        <f t="shared" si="50"/>
        <v>616.77419999999995</v>
      </c>
      <c r="J58" s="52">
        <f t="shared" si="51"/>
        <v>2768.0826095999996</v>
      </c>
      <c r="K58" s="52">
        <f t="shared" si="52"/>
        <v>8.3042478287999995</v>
      </c>
      <c r="L58" s="52">
        <f t="shared" si="53"/>
        <v>2776.3868574287994</v>
      </c>
      <c r="M58" s="52">
        <f t="shared" si="54"/>
        <v>555.27737148575989</v>
      </c>
      <c r="N58" s="52">
        <f t="shared" si="55"/>
        <v>3331.6642289145593</v>
      </c>
      <c r="O58" s="52">
        <f t="shared" si="56"/>
        <v>4.4017510335837236E-2</v>
      </c>
      <c r="P58" s="27">
        <f>0.04*1.045</f>
        <v>4.1799999999999997E-2</v>
      </c>
    </row>
    <row r="59" spans="1:18" ht="15" x14ac:dyDescent="0.25">
      <c r="A59" s="64" t="s">
        <v>63</v>
      </c>
      <c r="B59" s="187" t="s">
        <v>30</v>
      </c>
      <c r="C59" s="188"/>
      <c r="D59" s="194">
        <v>0.10299999999999999</v>
      </c>
      <c r="E59" s="145">
        <f>D59*$E$35*12</f>
        <v>19106.088</v>
      </c>
      <c r="F59" s="145">
        <f t="shared" si="47"/>
        <v>5785.3234463999997</v>
      </c>
      <c r="G59" s="145">
        <f t="shared" si="48"/>
        <v>3706.5810719999999</v>
      </c>
      <c r="H59" s="145">
        <f t="shared" si="49"/>
        <v>3056.97408</v>
      </c>
      <c r="I59" s="145">
        <f t="shared" si="50"/>
        <v>9075.3917999999994</v>
      </c>
      <c r="J59" s="145">
        <f t="shared" si="51"/>
        <v>40730.3583984</v>
      </c>
      <c r="K59" s="145">
        <f t="shared" si="52"/>
        <v>122.1910751952</v>
      </c>
      <c r="L59" s="145">
        <f t="shared" si="53"/>
        <v>40852.549473595202</v>
      </c>
      <c r="M59" s="145">
        <f t="shared" si="54"/>
        <v>8170.5098947190409</v>
      </c>
      <c r="N59" s="145">
        <f t="shared" si="55"/>
        <v>49023.059368314243</v>
      </c>
      <c r="O59" s="145">
        <f t="shared" si="56"/>
        <v>0.64768622351303384</v>
      </c>
      <c r="P59" s="145">
        <f>0.71*1.045</f>
        <v>0.74194999999999989</v>
      </c>
    </row>
    <row r="60" spans="1:18" ht="15" x14ac:dyDescent="0.25">
      <c r="A60" s="64" t="s">
        <v>64</v>
      </c>
      <c r="B60" s="187" t="s">
        <v>30</v>
      </c>
      <c r="C60" s="188"/>
      <c r="D60" s="195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</row>
    <row r="61" spans="1:18" ht="15" x14ac:dyDescent="0.25">
      <c r="A61" s="64" t="s">
        <v>65</v>
      </c>
      <c r="B61" s="187" t="s">
        <v>42</v>
      </c>
      <c r="C61" s="188"/>
      <c r="D61" s="195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</row>
    <row r="62" spans="1:18" ht="15" x14ac:dyDescent="0.25">
      <c r="A62" s="64" t="s">
        <v>66</v>
      </c>
      <c r="B62" s="187" t="s">
        <v>30</v>
      </c>
      <c r="C62" s="188"/>
      <c r="D62" s="196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</row>
    <row r="63" spans="1:18" ht="15" x14ac:dyDescent="0.25">
      <c r="A63" s="58" t="s">
        <v>67</v>
      </c>
      <c r="B63" s="187" t="s">
        <v>42</v>
      </c>
      <c r="C63" s="188"/>
      <c r="D63" s="59">
        <v>1E-3</v>
      </c>
      <c r="E63" s="52">
        <f t="shared" ref="E63" si="57">D63*$E$35*12</f>
        <v>185.49600000000001</v>
      </c>
      <c r="F63" s="52">
        <f t="shared" ref="F63" si="58">E63*$F$35</f>
        <v>56.168188800000003</v>
      </c>
      <c r="G63" s="52">
        <f t="shared" ref="G63" si="59">E63*$G$35</f>
        <v>35.986224</v>
      </c>
      <c r="H63" s="52">
        <f t="shared" ref="H63" si="60">E63*$H$35</f>
        <v>29.679360000000003</v>
      </c>
      <c r="I63" s="52">
        <f t="shared" ref="I63" si="61">E63*$I$35</f>
        <v>88.110600000000005</v>
      </c>
      <c r="J63" s="52">
        <f t="shared" ref="J63" si="62">SUM(E63:I63)</f>
        <v>395.44037279999998</v>
      </c>
      <c r="K63" s="52">
        <f t="shared" ref="K63" si="63">J63*$K$35</f>
        <v>1.1863211184</v>
      </c>
      <c r="L63" s="52">
        <f t="shared" ref="L63" si="64">SUM(J63:K63)</f>
        <v>396.62669391839995</v>
      </c>
      <c r="M63" s="52">
        <f t="shared" ref="M63" si="65">L63*$M$35</f>
        <v>79.325338783679996</v>
      </c>
      <c r="N63" s="52">
        <f t="shared" ref="N63" si="66">SUM(L63:M63)</f>
        <v>475.95203270207992</v>
      </c>
      <c r="O63" s="52">
        <f t="shared" ref="O63" si="67">N63/$E$5/12</f>
        <v>6.2882157622624621E-3</v>
      </c>
      <c r="P63" s="27">
        <f>((O63*1.04)*1.055)*1.045</f>
        <v>7.2099046994003194E-3</v>
      </c>
    </row>
    <row r="64" spans="1:18" ht="15" x14ac:dyDescent="0.25">
      <c r="A64" s="60" t="s">
        <v>55</v>
      </c>
      <c r="B64" s="187"/>
      <c r="C64" s="188"/>
      <c r="D64" s="33">
        <f>SUM(D55:D63)</f>
        <v>0.13200000000000001</v>
      </c>
      <c r="E64" s="49">
        <f t="shared" ref="E64:O64" si="68">SUM(E55:E63)</f>
        <v>24485.471999999998</v>
      </c>
      <c r="F64" s="49">
        <f t="shared" si="68"/>
        <v>7414.2009216000006</v>
      </c>
      <c r="G64" s="49">
        <f t="shared" si="68"/>
        <v>4750.181568</v>
      </c>
      <c r="H64" s="49">
        <f t="shared" si="68"/>
        <v>3917.6755199999998</v>
      </c>
      <c r="I64" s="49">
        <f t="shared" si="68"/>
        <v>11630.599199999999</v>
      </c>
      <c r="J64" s="49">
        <f t="shared" si="68"/>
        <v>52198.129209600003</v>
      </c>
      <c r="K64" s="49">
        <f t="shared" si="68"/>
        <v>156.59438762880001</v>
      </c>
      <c r="L64" s="49">
        <f t="shared" si="68"/>
        <v>52354.723597228796</v>
      </c>
      <c r="M64" s="49">
        <f t="shared" si="68"/>
        <v>10470.944719445761</v>
      </c>
      <c r="N64" s="49">
        <f t="shared" si="68"/>
        <v>62825.668316674557</v>
      </c>
      <c r="O64" s="49">
        <f t="shared" si="68"/>
        <v>0.83004448061864522</v>
      </c>
      <c r="P64" s="27">
        <f>((O64*1.04)*1.055)*1.045</f>
        <v>0.95170742032084243</v>
      </c>
    </row>
    <row r="65" spans="1:16" ht="15" x14ac:dyDescent="0.25">
      <c r="A65" s="151" t="s">
        <v>68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3"/>
      <c r="P65" s="52"/>
    </row>
    <row r="66" spans="1:16" ht="15" x14ac:dyDescent="0.25">
      <c r="A66" s="151" t="s">
        <v>69</v>
      </c>
      <c r="B66" s="152"/>
      <c r="C66" s="153"/>
      <c r="D66" s="59">
        <v>4.0000000000000001E-3</v>
      </c>
      <c r="E66" s="52">
        <f>D66*$E$35*12</f>
        <v>741.98400000000004</v>
      </c>
      <c r="F66" s="52">
        <f>E66*$F$35</f>
        <v>224.67275520000001</v>
      </c>
      <c r="G66" s="52">
        <f>E66*$G$35</f>
        <v>143.944896</v>
      </c>
      <c r="H66" s="52">
        <f>E66*$H$35</f>
        <v>118.71744000000001</v>
      </c>
      <c r="I66" s="52">
        <f>E66*$I$35</f>
        <v>352.44240000000002</v>
      </c>
      <c r="J66" s="52">
        <f>SUM(E66:I66)</f>
        <v>1581.7614911999999</v>
      </c>
      <c r="K66" s="52">
        <f>J66*$K$35</f>
        <v>4.7452844735999999</v>
      </c>
      <c r="L66" s="52">
        <f>SUM(J66:K66)</f>
        <v>1586.5067756735998</v>
      </c>
      <c r="M66" s="52">
        <f>L66*$M$35</f>
        <v>317.30135513471998</v>
      </c>
      <c r="N66" s="52">
        <f>SUM(L66:M66)</f>
        <v>1903.8081308083197</v>
      </c>
      <c r="O66" s="52">
        <f>N66/$E$5/12</f>
        <v>2.5152863049049849E-2</v>
      </c>
      <c r="P66" s="27">
        <f>((O66*1.04)*1.055)*1.045</f>
        <v>2.8839618797601278E-2</v>
      </c>
    </row>
    <row r="67" spans="1:16" ht="15" x14ac:dyDescent="0.2">
      <c r="A67" s="151" t="s">
        <v>55</v>
      </c>
      <c r="B67" s="152"/>
      <c r="C67" s="153"/>
      <c r="D67" s="57">
        <f>D66</f>
        <v>4.0000000000000001E-3</v>
      </c>
      <c r="E67" s="49">
        <f t="shared" ref="E67:O67" si="69">E66</f>
        <v>741.98400000000004</v>
      </c>
      <c r="F67" s="49">
        <f t="shared" si="69"/>
        <v>224.67275520000001</v>
      </c>
      <c r="G67" s="49">
        <f t="shared" si="69"/>
        <v>143.944896</v>
      </c>
      <c r="H67" s="49">
        <f t="shared" si="69"/>
        <v>118.71744000000001</v>
      </c>
      <c r="I67" s="49">
        <f t="shared" si="69"/>
        <v>352.44240000000002</v>
      </c>
      <c r="J67" s="49">
        <f t="shared" si="69"/>
        <v>1581.7614911999999</v>
      </c>
      <c r="K67" s="49">
        <f t="shared" si="69"/>
        <v>4.7452844735999999</v>
      </c>
      <c r="L67" s="49">
        <f t="shared" si="69"/>
        <v>1586.5067756735998</v>
      </c>
      <c r="M67" s="49">
        <f t="shared" si="69"/>
        <v>317.30135513471998</v>
      </c>
      <c r="N67" s="49">
        <f t="shared" si="69"/>
        <v>1903.8081308083197</v>
      </c>
      <c r="O67" s="49">
        <f t="shared" si="69"/>
        <v>2.5152863049049849E-2</v>
      </c>
      <c r="P67" s="27">
        <f>0.02*1.045</f>
        <v>2.0899999999999998E-2</v>
      </c>
    </row>
    <row r="68" spans="1:16" ht="15" x14ac:dyDescent="0.25">
      <c r="A68" s="112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52"/>
    </row>
    <row r="69" spans="1:16" ht="15" x14ac:dyDescent="0.25">
      <c r="A69" s="179" t="s">
        <v>89</v>
      </c>
      <c r="B69" s="180"/>
      <c r="C69" s="181"/>
      <c r="D69" s="33"/>
      <c r="E69" s="33"/>
      <c r="F69" s="33"/>
      <c r="G69" s="33"/>
      <c r="H69" s="33"/>
      <c r="I69" s="33"/>
      <c r="J69" s="33">
        <f>0.37*E5*12</f>
        <v>28005.1224</v>
      </c>
      <c r="K69" s="33">
        <f>J69*0.3%</f>
        <v>84.0153672</v>
      </c>
      <c r="L69" s="33">
        <f>SUM(J69:K69)</f>
        <v>28089.137767200002</v>
      </c>
      <c r="M69" s="33">
        <f>L69*0.2</f>
        <v>5617.8275534400009</v>
      </c>
      <c r="N69" s="33">
        <f>SUM(L69:M69)</f>
        <v>33706.965320640003</v>
      </c>
      <c r="O69" s="31">
        <f>N69/E5/12</f>
        <v>0.44533200000000006</v>
      </c>
      <c r="P69" s="52">
        <f>(0.455*1.055)*1.045</f>
        <v>0.50162612499999992</v>
      </c>
    </row>
    <row r="70" spans="1:16" ht="15" x14ac:dyDescent="0.25">
      <c r="A70" s="203"/>
      <c r="B70" s="204"/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52"/>
    </row>
    <row r="71" spans="1:16" ht="15" x14ac:dyDescent="0.25">
      <c r="A71" s="179" t="s">
        <v>72</v>
      </c>
      <c r="B71" s="180"/>
      <c r="C71" s="181"/>
      <c r="D71" s="33"/>
      <c r="E71" s="33"/>
      <c r="F71" s="33"/>
      <c r="G71" s="33"/>
      <c r="H71" s="33"/>
      <c r="I71" s="33"/>
      <c r="J71" s="33">
        <f>1.49*E5*12</f>
        <v>112777.3848</v>
      </c>
      <c r="K71" s="33">
        <f>J71*0.3%</f>
        <v>338.33215439999998</v>
      </c>
      <c r="L71" s="33">
        <f>SUM(J71:K71)</f>
        <v>113115.71695440001</v>
      </c>
      <c r="M71" s="33">
        <f>L71*0.2</f>
        <v>22623.143390880003</v>
      </c>
      <c r="N71" s="33">
        <f>SUM(L71:M71)</f>
        <v>135738.86034528</v>
      </c>
      <c r="O71" s="31">
        <f>N71/E5/12</f>
        <v>1.7933640000000002</v>
      </c>
      <c r="P71" s="52">
        <f>(1.84*1.055)*1.045</f>
        <v>2.0285539999999997</v>
      </c>
    </row>
    <row r="72" spans="1:16" ht="15" x14ac:dyDescent="0.25">
      <c r="A72" s="203"/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52"/>
    </row>
    <row r="73" spans="1:16" ht="15" hidden="1" x14ac:dyDescent="0.25">
      <c r="A73" s="220" t="s">
        <v>73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52"/>
    </row>
    <row r="74" spans="1:16" ht="15" hidden="1" x14ac:dyDescent="0.25">
      <c r="A74" s="124" t="s">
        <v>75</v>
      </c>
      <c r="B74" s="125"/>
      <c r="C74" s="125"/>
      <c r="D74" s="125"/>
      <c r="E74" s="125"/>
      <c r="F74" s="125"/>
      <c r="G74" s="125"/>
      <c r="H74" s="125"/>
      <c r="I74" s="125"/>
      <c r="J74" s="16"/>
      <c r="K74" s="125"/>
      <c r="L74" s="66">
        <f>0.275*E5*12</f>
        <v>20814.618000000002</v>
      </c>
      <c r="M74" s="66">
        <f>L74*0.2</f>
        <v>4162.923600000001</v>
      </c>
      <c r="N74" s="66">
        <f>L74+M74</f>
        <v>24977.541600000004</v>
      </c>
      <c r="O74" s="31">
        <f>N74/E5/12</f>
        <v>0.33</v>
      </c>
      <c r="P74" s="52">
        <v>0</v>
      </c>
    </row>
    <row r="75" spans="1:16" ht="14.25" hidden="1" customHeight="1" x14ac:dyDescent="0.2">
      <c r="A75" s="201" t="s">
        <v>22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32">
        <f>SUM(O74:O74)</f>
        <v>0.33</v>
      </c>
      <c r="P75" s="32">
        <v>0</v>
      </c>
    </row>
    <row r="76" spans="1:16" ht="15" hidden="1" x14ac:dyDescent="0.25">
      <c r="A76" s="203"/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19"/>
      <c r="P76" s="34"/>
    </row>
    <row r="77" spans="1:16" ht="27.75" customHeight="1" x14ac:dyDescent="0.2">
      <c r="A77" s="201" t="s">
        <v>125</v>
      </c>
      <c r="B77" s="201"/>
      <c r="C77" s="201"/>
      <c r="D77" s="201"/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32">
        <f>O21+O31+O53+O64+O67+O69+O71+O75+O37</f>
        <v>12.048493300775386</v>
      </c>
      <c r="P77" s="32">
        <f>P21+P31+P53+P64+P67+P69+P71+P75+P37</f>
        <v>13.260251773555545</v>
      </c>
    </row>
    <row r="78" spans="1:16" ht="15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</row>
    <row r="79" spans="1:16" ht="15" hidden="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spans="1:16" ht="15" x14ac:dyDescent="0.25">
      <c r="A80" s="80" t="s">
        <v>94</v>
      </c>
      <c r="B80" s="80"/>
      <c r="C80" s="80"/>
      <c r="D80" s="80"/>
      <c r="E80" s="14"/>
      <c r="F80" s="14"/>
      <c r="G80" s="14"/>
      <c r="H80" s="14"/>
      <c r="I80" s="14"/>
      <c r="J80" s="14"/>
      <c r="K80" s="14"/>
      <c r="L80" s="80" t="s">
        <v>78</v>
      </c>
      <c r="M80" s="80"/>
      <c r="N80" s="80"/>
      <c r="O80" s="80"/>
      <c r="P80" s="81"/>
    </row>
    <row r="90" spans="4:4" x14ac:dyDescent="0.2">
      <c r="D90" s="2">
        <f>D67+D64+D53+D37</f>
        <v>0.80380000000000007</v>
      </c>
    </row>
  </sheetData>
  <mergeCells count="105">
    <mergeCell ref="A2:P2"/>
    <mergeCell ref="A3:P3"/>
    <mergeCell ref="A7:A10"/>
    <mergeCell ref="B7:B9"/>
    <mergeCell ref="C7:C9"/>
    <mergeCell ref="D7:D9"/>
    <mergeCell ref="E7:E8"/>
    <mergeCell ref="F7:F8"/>
    <mergeCell ref="G7:G8"/>
    <mergeCell ref="H7:H8"/>
    <mergeCell ref="O7:O9"/>
    <mergeCell ref="P7:P9"/>
    <mergeCell ref="A4:P4"/>
    <mergeCell ref="A11:O11"/>
    <mergeCell ref="A19:O19"/>
    <mergeCell ref="A25:A28"/>
    <mergeCell ref="B25:B27"/>
    <mergeCell ref="C25:C27"/>
    <mergeCell ref="D25:D27"/>
    <mergeCell ref="E25:E26"/>
    <mergeCell ref="F25:F26"/>
    <mergeCell ref="I7:I8"/>
    <mergeCell ref="J7:J9"/>
    <mergeCell ref="K7:K8"/>
    <mergeCell ref="L7:L9"/>
    <mergeCell ref="M7:M8"/>
    <mergeCell ref="N7:N9"/>
    <mergeCell ref="M25:M26"/>
    <mergeCell ref="N25:N27"/>
    <mergeCell ref="O25:O27"/>
    <mergeCell ref="P25:P27"/>
    <mergeCell ref="A32:O32"/>
    <mergeCell ref="A33:A36"/>
    <mergeCell ref="B33:B35"/>
    <mergeCell ref="C33:C35"/>
    <mergeCell ref="D33:D35"/>
    <mergeCell ref="E33:E34"/>
    <mergeCell ref="G25:G26"/>
    <mergeCell ref="H25:H26"/>
    <mergeCell ref="I25:I26"/>
    <mergeCell ref="J25:J27"/>
    <mergeCell ref="K25:K26"/>
    <mergeCell ref="L25:L27"/>
    <mergeCell ref="L33:L35"/>
    <mergeCell ref="M33:M34"/>
    <mergeCell ref="N33:N35"/>
    <mergeCell ref="O33:O35"/>
    <mergeCell ref="P33:P35"/>
    <mergeCell ref="A38:O38"/>
    <mergeCell ref="F33:F34"/>
    <mergeCell ref="G33:G34"/>
    <mergeCell ref="H33:H34"/>
    <mergeCell ref="I33:I34"/>
    <mergeCell ref="J33:J35"/>
    <mergeCell ref="K33:K34"/>
    <mergeCell ref="B45:C45"/>
    <mergeCell ref="B46:C46"/>
    <mergeCell ref="B47:C47"/>
    <mergeCell ref="B48:C48"/>
    <mergeCell ref="A49:O49"/>
    <mergeCell ref="B50:C50"/>
    <mergeCell ref="A39:O39"/>
    <mergeCell ref="B40:C40"/>
    <mergeCell ref="B41:C41"/>
    <mergeCell ref="B42:C42"/>
    <mergeCell ref="A43:O43"/>
    <mergeCell ref="B44:C44"/>
    <mergeCell ref="B57:C57"/>
    <mergeCell ref="B58:C58"/>
    <mergeCell ref="B59:C59"/>
    <mergeCell ref="D59:D62"/>
    <mergeCell ref="E59:E62"/>
    <mergeCell ref="F59:F62"/>
    <mergeCell ref="B51:C51"/>
    <mergeCell ref="B52:C52"/>
    <mergeCell ref="B53:C53"/>
    <mergeCell ref="A54:O54"/>
    <mergeCell ref="B55:C55"/>
    <mergeCell ref="B56:C56"/>
    <mergeCell ref="M59:M62"/>
    <mergeCell ref="N59:N62"/>
    <mergeCell ref="O59:O62"/>
    <mergeCell ref="P59:P62"/>
    <mergeCell ref="B60:C60"/>
    <mergeCell ref="B61:C61"/>
    <mergeCell ref="B62:C62"/>
    <mergeCell ref="G59:G62"/>
    <mergeCell ref="H59:H62"/>
    <mergeCell ref="I59:I62"/>
    <mergeCell ref="J59:J62"/>
    <mergeCell ref="K59:K62"/>
    <mergeCell ref="L59:L62"/>
    <mergeCell ref="A77:N77"/>
    <mergeCell ref="A70:O70"/>
    <mergeCell ref="A71:C71"/>
    <mergeCell ref="A72:O72"/>
    <mergeCell ref="A73:O73"/>
    <mergeCell ref="A75:N75"/>
    <mergeCell ref="A76:O76"/>
    <mergeCell ref="B63:C63"/>
    <mergeCell ref="B64:C64"/>
    <mergeCell ref="A65:O65"/>
    <mergeCell ref="A66:C66"/>
    <mergeCell ref="A67:C67"/>
    <mergeCell ref="A69:C69"/>
  </mergeCells>
  <pageMargins left="0.78740157480314965" right="0.39370078740157483" top="0" bottom="0" header="0" footer="0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I категория общй</vt:lpstr>
      <vt:lpstr>I категория общй эл</vt:lpstr>
      <vt:lpstr>II категория общий свод</vt:lpstr>
      <vt:lpstr>II категория общий свод эл</vt:lpstr>
      <vt:lpstr>III категория общий свод</vt:lpstr>
      <vt:lpstr>III категория с газ. колон.</vt:lpstr>
      <vt:lpstr>III категория общий свод эл</vt:lpstr>
      <vt:lpstr> 4 категория  общий свод</vt:lpstr>
      <vt:lpstr> 4 категория  общий свод эл</vt:lpstr>
      <vt:lpstr>5категория общий свод</vt:lpstr>
      <vt:lpstr>5категория общий свод эл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2024-12-25T14:36:21Z</dcterms:modified>
</cp:coreProperties>
</file>