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330" windowWidth="25440" windowHeight="6375"/>
  </bookViews>
  <sheets>
    <sheet name="Перечень " sheetId="6" r:id="rId1"/>
  </sheets>
  <definedNames>
    <definedName name="_xlnm.Print_Titles" localSheetId="0">'Перечень '!$5:$6</definedName>
    <definedName name="_xlnm.Print_Area" localSheetId="0">'Перечень '!$A$1:$K$359</definedName>
  </definedNames>
  <calcPr calcId="145621"/>
</workbook>
</file>

<file path=xl/calcChain.xml><?xml version="1.0" encoding="utf-8"?>
<calcChain xmlns="http://schemas.openxmlformats.org/spreadsheetml/2006/main">
  <c r="G75" i="6" l="1"/>
  <c r="G71" i="6"/>
  <c r="G68" i="6"/>
  <c r="G64" i="6"/>
  <c r="G60" i="6"/>
  <c r="O256" i="6" l="1"/>
  <c r="O255" i="6"/>
  <c r="K256" i="6"/>
  <c r="K8" i="6" s="1"/>
  <c r="J256" i="6"/>
  <c r="J8" i="6" s="1"/>
  <c r="I256" i="6"/>
  <c r="L141" i="6"/>
  <c r="I141" i="6"/>
  <c r="I101" i="6"/>
  <c r="I102" i="6"/>
  <c r="I8" i="6"/>
  <c r="K135" i="6"/>
  <c r="J135" i="6"/>
  <c r="I135" i="6"/>
  <c r="L43" i="6"/>
  <c r="K54" i="6"/>
  <c r="J54" i="6"/>
  <c r="I54" i="6"/>
  <c r="K37" i="6"/>
  <c r="J37" i="6"/>
  <c r="I37" i="6"/>
  <c r="H42" i="6"/>
  <c r="K41" i="6"/>
  <c r="J41" i="6"/>
  <c r="I41" i="6"/>
  <c r="H41" i="6"/>
  <c r="G41" i="6"/>
  <c r="H135" i="6" l="1"/>
  <c r="H54" i="6"/>
  <c r="I61" i="6" l="1"/>
  <c r="G103" i="6" l="1"/>
  <c r="E103" i="6"/>
  <c r="K11" i="6"/>
  <c r="J11" i="6"/>
  <c r="I100" i="6" l="1"/>
  <c r="H100" i="6" s="1"/>
  <c r="J126" i="6"/>
  <c r="K109" i="6"/>
  <c r="K126" i="6" s="1"/>
  <c r="J109" i="6"/>
  <c r="I109" i="6"/>
  <c r="H109" i="6" s="1"/>
  <c r="H104" i="6"/>
  <c r="K103" i="6"/>
  <c r="J103" i="6"/>
  <c r="I103" i="6"/>
  <c r="K108" i="6"/>
  <c r="J108" i="6"/>
  <c r="J125" i="6" s="1"/>
  <c r="K107" i="6"/>
  <c r="J107" i="6"/>
  <c r="K106" i="6"/>
  <c r="J106" i="6"/>
  <c r="J123" i="6" s="1"/>
  <c r="I108" i="6"/>
  <c r="I107" i="6"/>
  <c r="I124" i="6" s="1"/>
  <c r="K125" i="6"/>
  <c r="K124" i="6"/>
  <c r="J124" i="6"/>
  <c r="K123" i="6"/>
  <c r="H107" i="6"/>
  <c r="H102" i="6"/>
  <c r="H101" i="6"/>
  <c r="K99" i="6"/>
  <c r="J99" i="6"/>
  <c r="I20" i="6"/>
  <c r="I132" i="6"/>
  <c r="K83" i="6"/>
  <c r="K132" i="6" s="1"/>
  <c r="J83" i="6"/>
  <c r="J132" i="6" s="1"/>
  <c r="I83" i="6"/>
  <c r="K75" i="6"/>
  <c r="J75" i="6"/>
  <c r="I75" i="6"/>
  <c r="H76" i="6"/>
  <c r="I72" i="6"/>
  <c r="I129" i="6"/>
  <c r="K80" i="6"/>
  <c r="K129" i="6" s="1"/>
  <c r="J80" i="6"/>
  <c r="J129" i="6" s="1"/>
  <c r="I80" i="6"/>
  <c r="I68" i="6"/>
  <c r="H69" i="6"/>
  <c r="I128" i="6"/>
  <c r="K79" i="6"/>
  <c r="K128" i="6" s="1"/>
  <c r="J79" i="6"/>
  <c r="J128" i="6" s="1"/>
  <c r="I79" i="6"/>
  <c r="K64" i="6"/>
  <c r="J64" i="6"/>
  <c r="I64" i="6"/>
  <c r="H65" i="6"/>
  <c r="K110" i="6"/>
  <c r="K127" i="6" s="1"/>
  <c r="J110" i="6"/>
  <c r="H110" i="6" s="1"/>
  <c r="I110" i="6"/>
  <c r="I127" i="6" s="1"/>
  <c r="H97" i="6"/>
  <c r="K96" i="6"/>
  <c r="J96" i="6"/>
  <c r="I96" i="6"/>
  <c r="K113" i="6"/>
  <c r="J113" i="6"/>
  <c r="K44" i="6"/>
  <c r="J44" i="6"/>
  <c r="I44" i="6"/>
  <c r="H44" i="6" s="1"/>
  <c r="K28" i="6"/>
  <c r="J28" i="6"/>
  <c r="I28" i="6"/>
  <c r="H29" i="6"/>
  <c r="H95" i="6"/>
  <c r="K94" i="6"/>
  <c r="K93" i="6" s="1"/>
  <c r="J94" i="6"/>
  <c r="J93" i="6" s="1"/>
  <c r="I125" i="6" l="1"/>
  <c r="I11" i="6"/>
  <c r="H11" i="6" s="1"/>
  <c r="H108" i="6"/>
  <c r="I113" i="6"/>
  <c r="H113" i="6" s="1"/>
  <c r="J127" i="6"/>
  <c r="H79" i="6"/>
  <c r="H83" i="6"/>
  <c r="I99" i="6"/>
  <c r="H99" i="6" s="1"/>
  <c r="E99" i="6" s="1"/>
  <c r="G99" i="6" s="1"/>
  <c r="H124" i="6"/>
  <c r="I126" i="6"/>
  <c r="I106" i="6"/>
  <c r="H126" i="6"/>
  <c r="H103" i="6"/>
  <c r="H125" i="6"/>
  <c r="H132" i="6"/>
  <c r="H129" i="6"/>
  <c r="H80" i="6"/>
  <c r="H128" i="6"/>
  <c r="H96" i="6"/>
  <c r="H127" i="6"/>
  <c r="I94" i="6"/>
  <c r="H94" i="6" s="1"/>
  <c r="I98" i="6" l="1"/>
  <c r="I93" i="6"/>
  <c r="H93" i="6" s="1"/>
  <c r="I123" i="6"/>
  <c r="H123" i="6" s="1"/>
  <c r="H106" i="6"/>
  <c r="I345" i="6" l="1"/>
  <c r="I344" i="6"/>
  <c r="K84" i="6"/>
  <c r="K133" i="6" s="1"/>
  <c r="J84" i="6"/>
  <c r="J133" i="6" s="1"/>
  <c r="I84" i="6"/>
  <c r="I133" i="6" s="1"/>
  <c r="H133" i="6" s="1"/>
  <c r="H77" i="6"/>
  <c r="H75" i="6"/>
  <c r="J34" i="6"/>
  <c r="J131" i="6"/>
  <c r="K82" i="6"/>
  <c r="K131" i="6" s="1"/>
  <c r="J82" i="6"/>
  <c r="I82" i="6"/>
  <c r="I131" i="6" s="1"/>
  <c r="K60" i="6"/>
  <c r="J60" i="6"/>
  <c r="I60" i="6"/>
  <c r="H61" i="6"/>
  <c r="K130" i="6"/>
  <c r="J130" i="6"/>
  <c r="K81" i="6"/>
  <c r="J81" i="6"/>
  <c r="J78" i="6" s="1"/>
  <c r="I81" i="6"/>
  <c r="I130" i="6" s="1"/>
  <c r="H72" i="6"/>
  <c r="I71" i="6"/>
  <c r="I34" i="6"/>
  <c r="I59" i="6" l="1"/>
  <c r="H131" i="6"/>
  <c r="K78" i="6"/>
  <c r="H81" i="6"/>
  <c r="I78" i="6"/>
  <c r="H130" i="6"/>
  <c r="H84" i="6"/>
  <c r="H82" i="6"/>
  <c r="I252" i="6"/>
  <c r="I234" i="6"/>
  <c r="I220" i="6"/>
  <c r="K276" i="6"/>
  <c r="H276" i="6" s="1"/>
  <c r="J276" i="6"/>
  <c r="J318" i="6" s="1"/>
  <c r="I276" i="6"/>
  <c r="I318" i="6"/>
  <c r="H210" i="6"/>
  <c r="K257" i="6"/>
  <c r="K299" i="6" s="1"/>
  <c r="J257" i="6"/>
  <c r="I257" i="6"/>
  <c r="I299" i="6" s="1"/>
  <c r="H155" i="6"/>
  <c r="K154" i="6"/>
  <c r="J154" i="6"/>
  <c r="I154" i="6"/>
  <c r="H154" i="6" s="1"/>
  <c r="G154" i="6"/>
  <c r="I251" i="6"/>
  <c r="I249" i="6" s="1"/>
  <c r="I218" i="6"/>
  <c r="I233" i="6"/>
  <c r="K275" i="6"/>
  <c r="K317" i="6" s="1"/>
  <c r="J275" i="6"/>
  <c r="J317" i="6" s="1"/>
  <c r="I275" i="6"/>
  <c r="H209" i="6"/>
  <c r="I315" i="6"/>
  <c r="K273" i="6"/>
  <c r="K315" i="6" s="1"/>
  <c r="J273" i="6"/>
  <c r="J315" i="6" s="1"/>
  <c r="I273" i="6"/>
  <c r="K202" i="6"/>
  <c r="J202" i="6"/>
  <c r="I202" i="6"/>
  <c r="H203" i="6"/>
  <c r="I239" i="6"/>
  <c r="K332" i="6"/>
  <c r="K290" i="6"/>
  <c r="J290" i="6"/>
  <c r="J332" i="6" s="1"/>
  <c r="I290" i="6"/>
  <c r="I332" i="6" s="1"/>
  <c r="H240" i="6"/>
  <c r="K294" i="6"/>
  <c r="K336" i="6" s="1"/>
  <c r="J294" i="6"/>
  <c r="I294" i="6"/>
  <c r="I336" i="6" s="1"/>
  <c r="H250" i="6"/>
  <c r="K269" i="6"/>
  <c r="J269" i="6"/>
  <c r="J311" i="6" s="1"/>
  <c r="I269" i="6"/>
  <c r="H191" i="6"/>
  <c r="K190" i="6"/>
  <c r="J190" i="6"/>
  <c r="I190" i="6"/>
  <c r="K311" i="6"/>
  <c r="K193" i="6"/>
  <c r="J193" i="6"/>
  <c r="I193" i="6"/>
  <c r="H194" i="6"/>
  <c r="H175" i="6"/>
  <c r="K174" i="6"/>
  <c r="J174" i="6"/>
  <c r="I174" i="6"/>
  <c r="K318" i="6" l="1"/>
  <c r="H190" i="6"/>
  <c r="H257" i="6"/>
  <c r="H318" i="6"/>
  <c r="J299" i="6"/>
  <c r="H299" i="6"/>
  <c r="H275" i="6"/>
  <c r="I317" i="6"/>
  <c r="H317" i="6" s="1"/>
  <c r="H294" i="6"/>
  <c r="J336" i="6"/>
  <c r="H315" i="6"/>
  <c r="H273" i="6"/>
  <c r="H332" i="6"/>
  <c r="H290" i="6"/>
  <c r="H336" i="6"/>
  <c r="H269" i="6"/>
  <c r="H174" i="6"/>
  <c r="I311" i="6"/>
  <c r="H311" i="6" s="1"/>
  <c r="I150" i="6" l="1"/>
  <c r="H151" i="6"/>
  <c r="I142" i="6"/>
  <c r="H143" i="6"/>
  <c r="I343" i="6" l="1"/>
  <c r="K49" i="6" l="1"/>
  <c r="K10" i="6" s="1"/>
  <c r="K48" i="6"/>
  <c r="K117" i="6" s="1"/>
  <c r="K47" i="6"/>
  <c r="K116" i="6" s="1"/>
  <c r="J49" i="6"/>
  <c r="J48" i="6"/>
  <c r="J117" i="6" s="1"/>
  <c r="J47" i="6"/>
  <c r="J116" i="6" s="1"/>
  <c r="I49" i="6"/>
  <c r="I48" i="6"/>
  <c r="I117" i="6" s="1"/>
  <c r="I47" i="6"/>
  <c r="I116" i="6" s="1"/>
  <c r="H24" i="6"/>
  <c r="H23" i="6"/>
  <c r="I22" i="6"/>
  <c r="H21" i="6"/>
  <c r="I19" i="6"/>
  <c r="J118" i="6" l="1"/>
  <c r="J10" i="6"/>
  <c r="I118" i="6"/>
  <c r="I10" i="6"/>
  <c r="H47" i="6"/>
  <c r="H117" i="6"/>
  <c r="K118" i="6"/>
  <c r="H118" i="6" s="1"/>
  <c r="H116" i="6"/>
  <c r="H48" i="6"/>
  <c r="H49" i="6"/>
  <c r="I335" i="6" l="1"/>
  <c r="K293" i="6"/>
  <c r="K335" i="6" s="1"/>
  <c r="J293" i="6"/>
  <c r="J335" i="6" s="1"/>
  <c r="I293" i="6"/>
  <c r="I217" i="6" l="1"/>
  <c r="I219" i="6"/>
  <c r="I14" i="6" l="1"/>
  <c r="I13" i="6"/>
  <c r="H66" i="6" l="1"/>
  <c r="G28" i="6" l="1"/>
  <c r="G249" i="6" l="1"/>
  <c r="G186" i="6"/>
  <c r="G147" i="6"/>
  <c r="G142" i="6"/>
  <c r="I15" i="6" l="1"/>
  <c r="K289" i="6"/>
  <c r="K331" i="6" s="1"/>
  <c r="J289" i="6"/>
  <c r="J331" i="6" s="1"/>
  <c r="K288" i="6"/>
  <c r="K330" i="6" s="1"/>
  <c r="J288" i="6"/>
  <c r="J330" i="6" s="1"/>
  <c r="I289" i="6"/>
  <c r="I331" i="6" s="1"/>
  <c r="I288" i="6"/>
  <c r="I330" i="6" s="1"/>
  <c r="K296" i="6"/>
  <c r="K338" i="6" s="1"/>
  <c r="J296" i="6"/>
  <c r="J338" i="6" s="1"/>
  <c r="K295" i="6"/>
  <c r="K337" i="6" s="1"/>
  <c r="J295" i="6"/>
  <c r="J337" i="6" s="1"/>
  <c r="I296" i="6"/>
  <c r="I338" i="6" s="1"/>
  <c r="I295" i="6"/>
  <c r="K292" i="6"/>
  <c r="K334" i="6" s="1"/>
  <c r="J292" i="6"/>
  <c r="J334" i="6" s="1"/>
  <c r="K291" i="6"/>
  <c r="K333" i="6" s="1"/>
  <c r="J291" i="6"/>
  <c r="J333" i="6" s="1"/>
  <c r="I292" i="6"/>
  <c r="I291" i="6"/>
  <c r="I333" i="6" s="1"/>
  <c r="K287" i="6"/>
  <c r="K329" i="6" s="1"/>
  <c r="J287" i="6"/>
  <c r="J329" i="6" s="1"/>
  <c r="K286" i="6"/>
  <c r="K328" i="6" s="1"/>
  <c r="J286" i="6"/>
  <c r="J328" i="6" s="1"/>
  <c r="K285" i="6"/>
  <c r="K327" i="6" s="1"/>
  <c r="J285" i="6"/>
  <c r="J327" i="6" s="1"/>
  <c r="K284" i="6"/>
  <c r="K326" i="6" s="1"/>
  <c r="J284" i="6"/>
  <c r="J326" i="6" s="1"/>
  <c r="I287" i="6"/>
  <c r="I329" i="6" s="1"/>
  <c r="I286" i="6"/>
  <c r="I328" i="6" s="1"/>
  <c r="I285" i="6"/>
  <c r="I327" i="6" s="1"/>
  <c r="I284" i="6"/>
  <c r="I326" i="6" s="1"/>
  <c r="K283" i="6"/>
  <c r="K325" i="6" s="1"/>
  <c r="J283" i="6"/>
  <c r="J325" i="6" s="1"/>
  <c r="K282" i="6"/>
  <c r="K324" i="6" s="1"/>
  <c r="J282" i="6"/>
  <c r="J324" i="6" s="1"/>
  <c r="K281" i="6"/>
  <c r="K323" i="6" s="1"/>
  <c r="J281" i="6"/>
  <c r="J323" i="6" s="1"/>
  <c r="K280" i="6"/>
  <c r="K322" i="6" s="1"/>
  <c r="J280" i="6"/>
  <c r="J322" i="6" s="1"/>
  <c r="K279" i="6"/>
  <c r="K321" i="6" s="1"/>
  <c r="J279" i="6"/>
  <c r="J321" i="6" s="1"/>
  <c r="I283" i="6"/>
  <c r="I325" i="6" s="1"/>
  <c r="I282" i="6"/>
  <c r="I281" i="6"/>
  <c r="I323" i="6" s="1"/>
  <c r="I280" i="6"/>
  <c r="I322" i="6" s="1"/>
  <c r="I279" i="6"/>
  <c r="I321" i="6" s="1"/>
  <c r="K278" i="6"/>
  <c r="K320" i="6" s="1"/>
  <c r="J278" i="6"/>
  <c r="J320" i="6" s="1"/>
  <c r="K277" i="6"/>
  <c r="K319" i="6" s="1"/>
  <c r="J277" i="6"/>
  <c r="J319" i="6" s="1"/>
  <c r="K274" i="6"/>
  <c r="K316" i="6" s="1"/>
  <c r="J274" i="6"/>
  <c r="J316" i="6" s="1"/>
  <c r="I278" i="6"/>
  <c r="I320" i="6" s="1"/>
  <c r="I277" i="6"/>
  <c r="I319" i="6" s="1"/>
  <c r="I274" i="6"/>
  <c r="I316" i="6" s="1"/>
  <c r="K272" i="6"/>
  <c r="K314" i="6" s="1"/>
  <c r="J272" i="6"/>
  <c r="J314" i="6" s="1"/>
  <c r="K271" i="6"/>
  <c r="K313" i="6" s="1"/>
  <c r="J271" i="6"/>
  <c r="J313" i="6" s="1"/>
  <c r="K270" i="6"/>
  <c r="K312" i="6" s="1"/>
  <c r="J270" i="6"/>
  <c r="J312" i="6" s="1"/>
  <c r="I272" i="6"/>
  <c r="I314" i="6" s="1"/>
  <c r="I271" i="6"/>
  <c r="I313" i="6" s="1"/>
  <c r="I270" i="6"/>
  <c r="I312" i="6" s="1"/>
  <c r="K268" i="6"/>
  <c r="J268" i="6"/>
  <c r="K267" i="6"/>
  <c r="K309" i="6" s="1"/>
  <c r="J267" i="6"/>
  <c r="J309" i="6" s="1"/>
  <c r="K266" i="6"/>
  <c r="K308" i="6" s="1"/>
  <c r="J266" i="6"/>
  <c r="J308" i="6" s="1"/>
  <c r="I268" i="6"/>
  <c r="I267" i="6"/>
  <c r="I309" i="6" s="1"/>
  <c r="K265" i="6"/>
  <c r="K307" i="6" s="1"/>
  <c r="J265" i="6"/>
  <c r="J307" i="6" s="1"/>
  <c r="K264" i="6"/>
  <c r="K306" i="6" s="1"/>
  <c r="J264" i="6"/>
  <c r="J306" i="6" s="1"/>
  <c r="I265" i="6"/>
  <c r="I307" i="6" s="1"/>
  <c r="I264" i="6"/>
  <c r="I306" i="6" s="1"/>
  <c r="K263" i="6"/>
  <c r="K305" i="6" s="1"/>
  <c r="J263" i="6"/>
  <c r="J305" i="6" s="1"/>
  <c r="I263" i="6"/>
  <c r="I305" i="6" s="1"/>
  <c r="K262" i="6"/>
  <c r="K304" i="6" s="1"/>
  <c r="J262" i="6"/>
  <c r="J304" i="6" s="1"/>
  <c r="I262" i="6"/>
  <c r="I304" i="6" s="1"/>
  <c r="K261" i="6"/>
  <c r="K303" i="6" s="1"/>
  <c r="J261" i="6"/>
  <c r="J303" i="6" s="1"/>
  <c r="K260" i="6"/>
  <c r="K302" i="6" s="1"/>
  <c r="J260" i="6"/>
  <c r="J302" i="6" s="1"/>
  <c r="I261" i="6"/>
  <c r="I303" i="6" s="1"/>
  <c r="I260" i="6"/>
  <c r="I302" i="6" s="1"/>
  <c r="K259" i="6"/>
  <c r="Q256" i="6" s="1"/>
  <c r="J259" i="6"/>
  <c r="P256" i="6" s="1"/>
  <c r="K258" i="6"/>
  <c r="J258" i="6"/>
  <c r="I258" i="6"/>
  <c r="I259" i="6"/>
  <c r="H220" i="6"/>
  <c r="H218" i="6"/>
  <c r="J298" i="6" l="1"/>
  <c r="P255" i="6"/>
  <c r="K298" i="6"/>
  <c r="Q255" i="6"/>
  <c r="I324" i="6"/>
  <c r="I337" i="6"/>
  <c r="P257" i="6"/>
  <c r="Q257" i="6"/>
  <c r="I334" i="6"/>
  <c r="O257" i="6"/>
  <c r="I300" i="6"/>
  <c r="K300" i="6"/>
  <c r="I301" i="6"/>
  <c r="J301" i="6"/>
  <c r="K301" i="6"/>
  <c r="J300" i="6"/>
  <c r="J310" i="6"/>
  <c r="K310" i="6"/>
  <c r="I310" i="6"/>
  <c r="H280" i="6"/>
  <c r="H289" i="6"/>
  <c r="H288" i="6"/>
  <c r="K186" i="6"/>
  <c r="J186" i="6"/>
  <c r="I186" i="6"/>
  <c r="H189" i="6"/>
  <c r="I178" i="6"/>
  <c r="I266" i="6" s="1"/>
  <c r="I308" i="6" s="1"/>
  <c r="K56" i="6" l="1"/>
  <c r="K137" i="6" s="1"/>
  <c r="J56" i="6"/>
  <c r="J137" i="6" s="1"/>
  <c r="K55" i="6"/>
  <c r="K136" i="6" s="1"/>
  <c r="J55" i="6"/>
  <c r="J136" i="6" s="1"/>
  <c r="I55" i="6"/>
  <c r="I136" i="6" s="1"/>
  <c r="I56" i="6"/>
  <c r="I137" i="6" s="1"/>
  <c r="K53" i="6"/>
  <c r="K122" i="6" s="1"/>
  <c r="J53" i="6"/>
  <c r="J122" i="6" s="1"/>
  <c r="K52" i="6"/>
  <c r="K121" i="6" s="1"/>
  <c r="J52" i="6"/>
  <c r="J121" i="6" s="1"/>
  <c r="I52" i="6"/>
  <c r="I121" i="6" s="1"/>
  <c r="I53" i="6"/>
  <c r="I122" i="6" s="1"/>
  <c r="K51" i="6"/>
  <c r="J51" i="6"/>
  <c r="K50" i="6"/>
  <c r="J50" i="6"/>
  <c r="I51" i="6"/>
  <c r="I50" i="6"/>
  <c r="K45" i="6"/>
  <c r="J45" i="6"/>
  <c r="I45" i="6"/>
  <c r="K46" i="6"/>
  <c r="J46" i="6"/>
  <c r="I46" i="6"/>
  <c r="G19" i="6"/>
  <c r="I43" i="6" l="1"/>
  <c r="I120" i="6"/>
  <c r="I119" i="6"/>
  <c r="J120" i="6"/>
  <c r="J119" i="6"/>
  <c r="K120" i="6"/>
  <c r="K119" i="6"/>
  <c r="J114" i="6"/>
  <c r="I115" i="6"/>
  <c r="J115" i="6"/>
  <c r="K114" i="6"/>
  <c r="K115" i="6"/>
  <c r="I114" i="6"/>
  <c r="I165" i="6"/>
  <c r="K59" i="6"/>
  <c r="K58" i="6" s="1"/>
  <c r="J59" i="6"/>
  <c r="J58" i="6" s="1"/>
  <c r="I58" i="6"/>
  <c r="H74" i="6"/>
  <c r="H67" i="6"/>
  <c r="I255" i="6" l="1"/>
  <c r="I298" i="6"/>
  <c r="H254" i="6"/>
  <c r="H253" i="6"/>
  <c r="H246" i="6"/>
  <c r="H245" i="6"/>
  <c r="H244" i="6"/>
  <c r="H236" i="6"/>
  <c r="H235" i="6"/>
  <c r="H231" i="6"/>
  <c r="H230" i="6"/>
  <c r="H224" i="6"/>
  <c r="H223" i="6"/>
  <c r="H222" i="6"/>
  <c r="H215" i="6"/>
  <c r="H214" i="6"/>
  <c r="H213" i="6"/>
  <c r="H195" i="6"/>
  <c r="H193" i="6"/>
  <c r="E193" i="6"/>
  <c r="E190" i="6" l="1"/>
  <c r="H192" i="6"/>
  <c r="H39" i="6" l="1"/>
  <c r="I38" i="6"/>
  <c r="I216" i="6" l="1"/>
  <c r="H208" i="6" l="1"/>
  <c r="H153" i="6" l="1"/>
  <c r="H152" i="6"/>
  <c r="K150" i="6"/>
  <c r="J150" i="6"/>
  <c r="H149" i="6"/>
  <c r="H148" i="6"/>
  <c r="K147" i="6"/>
  <c r="J147" i="6"/>
  <c r="I147" i="6"/>
  <c r="H145" i="6"/>
  <c r="H144" i="6"/>
  <c r="K142" i="6"/>
  <c r="J142" i="6"/>
  <c r="K177" i="6"/>
  <c r="K176" i="6" s="1"/>
  <c r="J177" i="6"/>
  <c r="J176" i="6" s="1"/>
  <c r="I177" i="6"/>
  <c r="I176" i="6" s="1"/>
  <c r="H178" i="6"/>
  <c r="H197" i="6"/>
  <c r="K196" i="6"/>
  <c r="K181" i="6" s="1"/>
  <c r="J196" i="6"/>
  <c r="J181" i="6" s="1"/>
  <c r="I196" i="6"/>
  <c r="I181" i="6" s="1"/>
  <c r="G196" i="6"/>
  <c r="H142" i="6" l="1"/>
  <c r="H150" i="6"/>
  <c r="H147" i="6"/>
  <c r="H31" i="6"/>
  <c r="G91" i="6" l="1"/>
  <c r="K349" i="6" l="1"/>
  <c r="J349" i="6"/>
  <c r="K348" i="6"/>
  <c r="K352" i="6" s="1"/>
  <c r="J348" i="6"/>
  <c r="J352" i="6" s="1"/>
  <c r="I348" i="6"/>
  <c r="K347" i="6"/>
  <c r="K351" i="6" s="1"/>
  <c r="J347" i="6"/>
  <c r="J351" i="6" s="1"/>
  <c r="H345" i="6"/>
  <c r="H344" i="6"/>
  <c r="I347" i="6"/>
  <c r="K342" i="6"/>
  <c r="K341" i="6" s="1"/>
  <c r="J342" i="6"/>
  <c r="J341" i="6" s="1"/>
  <c r="G342" i="6"/>
  <c r="H243" i="6"/>
  <c r="H242" i="6"/>
  <c r="H241" i="6"/>
  <c r="K239" i="6"/>
  <c r="K238" i="6" s="1"/>
  <c r="K237" i="6" s="1"/>
  <c r="J239" i="6"/>
  <c r="J238" i="6" s="1"/>
  <c r="J237" i="6" s="1"/>
  <c r="G239" i="6"/>
  <c r="K232" i="6"/>
  <c r="G232" i="6"/>
  <c r="H229" i="6"/>
  <c r="H228" i="6"/>
  <c r="H226" i="6"/>
  <c r="I225" i="6"/>
  <c r="G225" i="6"/>
  <c r="H221" i="6"/>
  <c r="H219" i="6"/>
  <c r="K216" i="6"/>
  <c r="J216" i="6"/>
  <c r="G216" i="6"/>
  <c r="H212" i="6"/>
  <c r="H211" i="6"/>
  <c r="K207" i="6"/>
  <c r="J207" i="6"/>
  <c r="G207" i="6"/>
  <c r="H205" i="6"/>
  <c r="H204" i="6"/>
  <c r="K201" i="6"/>
  <c r="J201" i="6"/>
  <c r="G202" i="6"/>
  <c r="H188" i="6"/>
  <c r="H187" i="6"/>
  <c r="H185" i="6"/>
  <c r="H184" i="6"/>
  <c r="H183" i="6"/>
  <c r="G182" i="6"/>
  <c r="H180" i="6"/>
  <c r="H179" i="6"/>
  <c r="G177" i="6"/>
  <c r="H173" i="6"/>
  <c r="K172" i="6"/>
  <c r="I172" i="6"/>
  <c r="J170" i="6"/>
  <c r="K170" i="6"/>
  <c r="I170" i="6"/>
  <c r="H169" i="6"/>
  <c r="K168" i="6"/>
  <c r="I168" i="6"/>
  <c r="H167" i="6"/>
  <c r="K166" i="6"/>
  <c r="J166" i="6"/>
  <c r="I166" i="6"/>
  <c r="J164" i="6"/>
  <c r="K164" i="6"/>
  <c r="I164" i="6"/>
  <c r="H163" i="6"/>
  <c r="K162" i="6"/>
  <c r="I162" i="6"/>
  <c r="J160" i="6"/>
  <c r="K160" i="6"/>
  <c r="I160" i="6"/>
  <c r="H159" i="6"/>
  <c r="K158" i="6"/>
  <c r="J158" i="6"/>
  <c r="I158" i="6"/>
  <c r="H157" i="6"/>
  <c r="K156" i="6"/>
  <c r="K141" i="6" s="1"/>
  <c r="K140" i="6" s="1"/>
  <c r="J156" i="6"/>
  <c r="I156" i="6"/>
  <c r="G156" i="6"/>
  <c r="H198" i="6"/>
  <c r="K111" i="6"/>
  <c r="J111" i="6"/>
  <c r="I111" i="6"/>
  <c r="H92" i="6"/>
  <c r="K91" i="6"/>
  <c r="K90" i="6" s="1"/>
  <c r="J91" i="6"/>
  <c r="J90" i="6" s="1"/>
  <c r="I91" i="6"/>
  <c r="H89" i="6"/>
  <c r="H88" i="6"/>
  <c r="G88" i="6"/>
  <c r="K87" i="6"/>
  <c r="J87" i="6"/>
  <c r="I87" i="6"/>
  <c r="H73" i="6"/>
  <c r="H70" i="6"/>
  <c r="H63" i="6"/>
  <c r="H62" i="6"/>
  <c r="H40" i="6"/>
  <c r="K38" i="6"/>
  <c r="K36" i="6" s="1"/>
  <c r="J38" i="6"/>
  <c r="J36" i="6" s="1"/>
  <c r="I36" i="6"/>
  <c r="G38" i="6"/>
  <c r="H35" i="6"/>
  <c r="H34" i="6"/>
  <c r="K33" i="6"/>
  <c r="J33" i="6"/>
  <c r="I33" i="6"/>
  <c r="I18" i="6" s="1"/>
  <c r="G33" i="6"/>
  <c r="H32" i="6"/>
  <c r="H30" i="6"/>
  <c r="H28" i="6"/>
  <c r="H27" i="6"/>
  <c r="H26" i="6"/>
  <c r="H25" i="6"/>
  <c r="H22" i="6"/>
  <c r="H20" i="6"/>
  <c r="K19" i="6"/>
  <c r="K18" i="6" s="1"/>
  <c r="J19" i="6"/>
  <c r="J18" i="6" s="1"/>
  <c r="H15" i="6"/>
  <c r="H14" i="6"/>
  <c r="J105" i="6" l="1"/>
  <c r="J98" i="6" s="1"/>
  <c r="J9" i="6"/>
  <c r="J7" i="6" s="1"/>
  <c r="K105" i="6"/>
  <c r="K98" i="6" s="1"/>
  <c r="K86" i="6" s="1"/>
  <c r="K9" i="6"/>
  <c r="K7" i="6" s="1"/>
  <c r="I105" i="6"/>
  <c r="I9" i="6"/>
  <c r="I7" i="6" s="1"/>
  <c r="I352" i="6"/>
  <c r="I140" i="6"/>
  <c r="K134" i="6"/>
  <c r="K112" i="6" s="1"/>
  <c r="I134" i="6"/>
  <c r="I112" i="6" s="1"/>
  <c r="J353" i="6"/>
  <c r="J350" i="6" s="1"/>
  <c r="J134" i="6"/>
  <c r="K353" i="6"/>
  <c r="H19" i="6"/>
  <c r="H233" i="6"/>
  <c r="I207" i="6"/>
  <c r="H207" i="6" s="1"/>
  <c r="H278" i="6"/>
  <c r="H158" i="6"/>
  <c r="H171" i="6"/>
  <c r="H300" i="6"/>
  <c r="H348" i="6"/>
  <c r="H64" i="6"/>
  <c r="H91" i="6"/>
  <c r="H156" i="6"/>
  <c r="K225" i="6"/>
  <c r="K206" i="6" s="1"/>
  <c r="K200" i="6" s="1"/>
  <c r="H13" i="6"/>
  <c r="H217" i="6"/>
  <c r="H271" i="6"/>
  <c r="H335" i="6"/>
  <c r="H38" i="6"/>
  <c r="H170" i="6"/>
  <c r="H37" i="6"/>
  <c r="H60" i="6"/>
  <c r="H161" i="6"/>
  <c r="H165" i="6"/>
  <c r="J225" i="6"/>
  <c r="H331" i="6"/>
  <c r="K346" i="6"/>
  <c r="I351" i="6"/>
  <c r="H351" i="6" s="1"/>
  <c r="H347" i="6"/>
  <c r="H46" i="6"/>
  <c r="H68" i="6"/>
  <c r="H216" i="6"/>
  <c r="I248" i="6"/>
  <c r="H305" i="6"/>
  <c r="H310" i="6"/>
  <c r="H312" i="6"/>
  <c r="H337" i="6"/>
  <c r="J346" i="6"/>
  <c r="H343" i="6"/>
  <c r="I342" i="6"/>
  <c r="H227" i="6"/>
  <c r="H234" i="6"/>
  <c r="J43" i="6"/>
  <c r="H50" i="6"/>
  <c r="H55" i="6"/>
  <c r="H136" i="6"/>
  <c r="H137" i="6"/>
  <c r="H87" i="6"/>
  <c r="H122" i="6"/>
  <c r="H53" i="6"/>
  <c r="H115" i="6"/>
  <c r="K43" i="6"/>
  <c r="H119" i="6"/>
  <c r="H52" i="6"/>
  <c r="H121" i="6"/>
  <c r="H33" i="6"/>
  <c r="H45" i="6"/>
  <c r="M43" i="6" s="1"/>
  <c r="H51" i="6"/>
  <c r="H56" i="6"/>
  <c r="H71" i="6"/>
  <c r="I90" i="6"/>
  <c r="H90" i="6" s="1"/>
  <c r="H120" i="6"/>
  <c r="H302" i="6"/>
  <c r="H260" i="6"/>
  <c r="H164" i="6"/>
  <c r="H333" i="6"/>
  <c r="J232" i="6"/>
  <c r="H258" i="6"/>
  <c r="H301" i="6"/>
  <c r="H259" i="6"/>
  <c r="H304" i="6"/>
  <c r="H319" i="6"/>
  <c r="H309" i="6"/>
  <c r="H267" i="6"/>
  <c r="H329" i="6"/>
  <c r="H291" i="6"/>
  <c r="H111" i="6"/>
  <c r="H196" i="6"/>
  <c r="H160" i="6"/>
  <c r="J162" i="6"/>
  <c r="H162" i="6" s="1"/>
  <c r="H166" i="6"/>
  <c r="J168" i="6"/>
  <c r="H168" i="6" s="1"/>
  <c r="H177" i="6"/>
  <c r="H182" i="6"/>
  <c r="H327" i="6"/>
  <c r="H286" i="6"/>
  <c r="H328" i="6"/>
  <c r="H287" i="6"/>
  <c r="H306" i="6"/>
  <c r="H264" i="6"/>
  <c r="H338" i="6"/>
  <c r="K249" i="6"/>
  <c r="J172" i="6"/>
  <c r="H172" i="6" s="1"/>
  <c r="H283" i="6"/>
  <c r="H324" i="6"/>
  <c r="H239" i="6"/>
  <c r="I238" i="6"/>
  <c r="K255" i="6"/>
  <c r="H320" i="6"/>
  <c r="H314" i="6"/>
  <c r="H316" i="6"/>
  <c r="H321" i="6"/>
  <c r="H322" i="6"/>
  <c r="H325" i="6"/>
  <c r="H326" i="6"/>
  <c r="H330" i="6"/>
  <c r="H334" i="6"/>
  <c r="I232" i="6"/>
  <c r="H252" i="6"/>
  <c r="J249" i="6"/>
  <c r="J248" i="6" s="1"/>
  <c r="H251" i="6"/>
  <c r="H262" i="6"/>
  <c r="H263" i="6"/>
  <c r="H268" i="6"/>
  <c r="H270" i="6"/>
  <c r="H272" i="6"/>
  <c r="H274" i="6"/>
  <c r="H277" i="6"/>
  <c r="H279" i="6"/>
  <c r="H281" i="6"/>
  <c r="H284" i="6"/>
  <c r="H285" i="6"/>
  <c r="H292" i="6"/>
  <c r="H293" i="6"/>
  <c r="H296" i="6"/>
  <c r="K350" i="6"/>
  <c r="H352" i="6"/>
  <c r="I349" i="6"/>
  <c r="I86" i="6" l="1"/>
  <c r="J86" i="6"/>
  <c r="H98" i="6"/>
  <c r="J141" i="6"/>
  <c r="L18" i="6"/>
  <c r="H134" i="6"/>
  <c r="H342" i="6"/>
  <c r="I341" i="6"/>
  <c r="H341" i="6" s="1"/>
  <c r="I206" i="6"/>
  <c r="J206" i="6"/>
  <c r="J200" i="6" s="1"/>
  <c r="J199" i="6" s="1"/>
  <c r="L59" i="6"/>
  <c r="I12" i="6"/>
  <c r="H12" i="6" s="1"/>
  <c r="H186" i="6"/>
  <c r="L181" i="6" s="1"/>
  <c r="K199" i="6"/>
  <c r="H225" i="6"/>
  <c r="K248" i="6"/>
  <c r="K247" i="6" s="1"/>
  <c r="H176" i="6"/>
  <c r="H295" i="6"/>
  <c r="H313" i="6"/>
  <c r="H78" i="6"/>
  <c r="H10" i="6"/>
  <c r="O265" i="6"/>
  <c r="H308" i="6"/>
  <c r="H266" i="6"/>
  <c r="H303" i="6"/>
  <c r="H261" i="6"/>
  <c r="Q258" i="6"/>
  <c r="J112" i="6"/>
  <c r="H112" i="6" s="1"/>
  <c r="H114" i="6"/>
  <c r="H307" i="6"/>
  <c r="H265" i="6"/>
  <c r="J247" i="6"/>
  <c r="H249" i="6"/>
  <c r="L247" i="6" s="1"/>
  <c r="K297" i="6"/>
  <c r="I201" i="6"/>
  <c r="H201" i="6" s="1"/>
  <c r="H202" i="6"/>
  <c r="J297" i="6"/>
  <c r="J255" i="6"/>
  <c r="H232" i="6"/>
  <c r="I353" i="6"/>
  <c r="I346" i="6"/>
  <c r="H346" i="6" s="1"/>
  <c r="H349" i="6"/>
  <c r="H238" i="6"/>
  <c r="I237" i="6"/>
  <c r="H237" i="6" s="1"/>
  <c r="H256" i="6"/>
  <c r="H323" i="6"/>
  <c r="H282" i="6"/>
  <c r="H59" i="6"/>
  <c r="M112" i="6" l="1"/>
  <c r="J140" i="6"/>
  <c r="H141" i="6"/>
  <c r="L206" i="6"/>
  <c r="I200" i="6"/>
  <c r="P258" i="6"/>
  <c r="H58" i="6"/>
  <c r="L78" i="6" s="1"/>
  <c r="N78" i="6" s="1"/>
  <c r="H181" i="6"/>
  <c r="O264" i="6"/>
  <c r="L255" i="6"/>
  <c r="H105" i="6"/>
  <c r="H18" i="6"/>
  <c r="H8" i="6"/>
  <c r="I297" i="6"/>
  <c r="L297" i="6" s="1"/>
  <c r="H298" i="6"/>
  <c r="M297" i="6" s="1"/>
  <c r="H353" i="6"/>
  <c r="L350" i="6" s="1"/>
  <c r="I350" i="6"/>
  <c r="H350" i="6" s="1"/>
  <c r="H248" i="6"/>
  <c r="I247" i="6"/>
  <c r="H247" i="6" s="1"/>
  <c r="M255" i="6"/>
  <c r="H86" i="6"/>
  <c r="O263" i="6"/>
  <c r="O258" i="6"/>
  <c r="H206" i="6"/>
  <c r="L199" i="6" s="1"/>
  <c r="H9" i="6"/>
  <c r="L140" i="6" l="1"/>
  <c r="H7" i="6"/>
  <c r="H140" i="6"/>
  <c r="O266" i="6"/>
  <c r="L7" i="6"/>
  <c r="N18" i="6"/>
  <c r="H200" i="6"/>
  <c r="I199" i="6"/>
  <c r="H199" i="6" s="1"/>
  <c r="H36" i="6"/>
  <c r="H43" i="6" s="1"/>
  <c r="L112" i="6" l="1"/>
  <c r="H255" i="6"/>
  <c r="H297" i="6" s="1"/>
  <c r="L6" i="6" l="1"/>
  <c r="M6" i="6" s="1"/>
</calcChain>
</file>

<file path=xl/sharedStrings.xml><?xml version="1.0" encoding="utf-8"?>
<sst xmlns="http://schemas.openxmlformats.org/spreadsheetml/2006/main" count="792" uniqueCount="414">
  <si>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</si>
  <si>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</si>
  <si>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</si>
  <si>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</si>
  <si>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</si>
  <si>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</si>
  <si>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</si>
  <si>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</si>
  <si>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</si>
  <si>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</si>
  <si>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</si>
  <si>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</si>
  <si>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</si>
  <si>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</si>
  <si>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</si>
  <si>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</si>
  <si>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</si>
  <si>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</si>
  <si>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</si>
  <si>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</si>
  <si>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</si>
  <si>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</si>
  <si>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</si>
  <si>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t>ориентировочно    7 000 000,00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</si>
  <si>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</si>
  <si>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</si>
  <si>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</si>
  <si>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</si>
  <si>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</si>
  <si>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</si>
  <si>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</si>
  <si>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</si>
  <si>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</si>
  <si>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</si>
  <si>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</si>
  <si>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</si>
  <si>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</si>
  <si>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</si>
  <si>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</si>
  <si>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</si>
  <si>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</si>
  <si>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</si>
  <si>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</si>
  <si>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</si>
  <si>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</si>
  <si>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</si>
  <si>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</si>
  <si>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</si>
  <si>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</si>
  <si>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</si>
  <si>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</si>
  <si>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</si>
  <si>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</si>
  <si>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</si>
  <si>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</si>
  <si>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</si>
  <si>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</si>
  <si>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</si>
  <si>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</si>
  <si>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</si>
  <si>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</si>
  <si>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</si>
  <si>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</si>
  <si>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</si>
  <si>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</si>
  <si>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</si>
  <si>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</si>
  <si>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</si>
  <si>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</si>
  <si>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</si>
  <si>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</si>
  <si>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</si>
  <si>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</si>
  <si>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</si>
  <si>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</si>
  <si>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</si>
  <si>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</si>
  <si>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</si>
  <si>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</si>
  <si>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</si>
  <si>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</si>
  <si>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</si>
  <si>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</si>
  <si>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</si>
  <si>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</si>
  <si>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</si>
  <si>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</si>
  <si>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</si>
  <si>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</si>
  <si>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</si>
  <si>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</si>
  <si>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</si>
  <si>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</si>
  <si>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</si>
  <si>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</si>
  <si>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</si>
  <si>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</si>
  <si>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</si>
  <si>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</si>
  <si>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</si>
  <si>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ориентировочно 5 000 000,00</t>
  </si>
  <si>
    <t>ориентировочно 7 000 000,00</t>
  </si>
  <si>
    <t>ориентировочно  7 000 000,00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</si>
  <si>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</si>
  <si>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</si>
  <si>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</si>
  <si>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</si>
  <si>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</si>
  <si>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  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</si>
  <si>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</si>
  <si>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</si>
  <si>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</si>
  <si>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</si>
  <si>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</si>
  <si>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</si>
  <si>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</si>
  <si>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</si>
  <si>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</si>
  <si>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</si>
  <si>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</si>
  <si>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</si>
  <si>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</si>
  <si>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</si>
  <si>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</si>
  <si>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</si>
  <si>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</si>
  <si>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</si>
  <si>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</si>
  <si>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</si>
  <si>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</si>
  <si>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</si>
  <si>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</si>
  <si>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</si>
  <si>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</si>
  <si>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</si>
  <si>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</si>
  <si>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</si>
  <si>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</si>
  <si>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</si>
  <si>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</si>
  <si>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</si>
  <si>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</si>
  <si>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</si>
  <si>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</si>
  <si>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</si>
  <si>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</si>
  <si>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</si>
  <si>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</si>
  <si>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</si>
  <si>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</si>
  <si>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</si>
  <si>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</si>
  <si>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</si>
  <si>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</si>
  <si>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</si>
  <si>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</si>
  <si>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</si>
  <si>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</si>
  <si>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</si>
  <si>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</si>
  <si>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Начальник Управления по строительству и развитию территории города Брянска</t>
  </si>
  <si>
    <t>Т.В. Волкова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</si>
  <si>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</si>
  <si>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</si>
  <si>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</si>
  <si>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</si>
  <si>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</si>
  <si>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</si>
  <si>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</si>
  <si>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</si>
  <si>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</si>
  <si>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</si>
  <si>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</si>
  <si>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</si>
  <si>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</si>
  <si>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</si>
  <si>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</si>
  <si>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</si>
  <si>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</si>
  <si>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</si>
  <si>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</si>
  <si>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</si>
  <si>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</si>
  <si>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</si>
  <si>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</si>
  <si>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</si>
  <si>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</si>
  <si>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</si>
  <si>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</si>
  <si>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</si>
  <si>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</si>
  <si>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</si>
  <si>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t>9822151009           Обл 20.ED.019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</si>
  <si>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</si>
  <si>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</si>
  <si>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</si>
  <si>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</si>
  <si>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</si>
  <si>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</si>
  <si>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</si>
  <si>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</si>
  <si>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</si>
  <si>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</si>
  <si>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__.__.2024  № _______</t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</si>
  <si>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</si>
  <si>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</si>
  <si>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</si>
  <si>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</si>
  <si>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t>Водозаборное сооружение на территории технологического комплекса "Деповский" по адресу: г. Брянск, Володарский район,                              ул. Мичурина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</si>
  <si>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</si>
  <si>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</si>
  <si>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</si>
  <si>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</si>
  <si>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</si>
  <si>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</si>
  <si>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</si>
  <si>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</si>
  <si>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</si>
  <si>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</si>
  <si>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</si>
  <si>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</si>
  <si>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</si>
  <si>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</si>
  <si>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</si>
  <si>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</si>
  <si>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</si>
  <si>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</si>
  <si>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</si>
  <si>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</si>
  <si>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</si>
  <si>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</si>
  <si>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</si>
  <si>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</si>
  <si>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</si>
  <si>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</si>
  <si>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</si>
  <si>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</si>
  <si>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</si>
  <si>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</si>
  <si>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</si>
  <si>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</si>
  <si>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</si>
  <si>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</si>
  <si>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t xml:space="preserve">9822151009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</si>
  <si>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</si>
  <si>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</si>
  <si>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</si>
  <si>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</si>
  <si>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</si>
  <si>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06А0820 412 </t>
    </r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</si>
  <si>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</si>
  <si>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</si>
  <si>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</si>
  <si>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</si>
  <si>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</si>
  <si>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66 329 333,33</t>
  </si>
  <si>
    <t>ориентировочно  2 954 359,00</t>
  </si>
  <si>
    <t>ориентировочно  76 816 710,00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</si>
  <si>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</si>
  <si>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</si>
  <si>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</si>
  <si>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</si>
  <si>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</si>
  <si>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</si>
  <si>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</si>
  <si>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</si>
  <si>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</si>
  <si>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</si>
  <si>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</si>
  <si>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</si>
  <si>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</si>
  <si>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</si>
  <si>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</si>
  <si>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</si>
  <si>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</si>
  <si>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</si>
  <si>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</si>
  <si>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</si>
  <si>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</si>
  <si>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</si>
  <si>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</si>
  <si>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</si>
  <si>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</si>
  <si>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</si>
  <si>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</si>
  <si>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</si>
  <si>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</si>
  <si>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</si>
  <si>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</si>
  <si>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</si>
  <si>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</si>
  <si>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</si>
  <si>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</si>
  <si>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</si>
  <si>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</si>
  <si>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</si>
  <si>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</si>
  <si>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</si>
  <si>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</si>
  <si>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</si>
  <si>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>(+)1 910 000,00</t>
  </si>
  <si>
    <t>(+)2 852 333,33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</si>
  <si>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</si>
  <si>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</si>
  <si>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</si>
  <si>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</si>
  <si>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</si>
  <si>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</si>
  <si>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</si>
  <si>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</si>
  <si>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(+)100 000,00</t>
  </si>
  <si>
    <t>(+)2 385 265,00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</si>
  <si>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</si>
  <si>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</si>
  <si>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(+)150 000,00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</si>
  <si>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</si>
  <si>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</si>
  <si>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</si>
  <si>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t>(+)374 000,00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</si>
  <si>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11S8007 414</t>
    </r>
  </si>
  <si>
    <t>16.ED.046                                    Гор 16.ED.046</t>
  </si>
  <si>
    <t>(+)856 710,34</t>
  </si>
  <si>
    <t xml:space="preserve">16.ED.046          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</si>
  <si>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</si>
  <si>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</si>
  <si>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>(+)147 593,76</t>
  </si>
  <si>
    <t xml:space="preserve">20.ED.015                              </t>
  </si>
  <si>
    <t>(+)7 098 429,87</t>
  </si>
  <si>
    <t>(+)1 647 969,65</t>
  </si>
  <si>
    <t>(+)601 137,75</t>
  </si>
  <si>
    <t>19.EN.026             Гор.19.EN.026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</si>
  <si>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</si>
  <si>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</si>
  <si>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</si>
  <si>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>(+)79 494,24</t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</si>
  <si>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</si>
  <si>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</si>
  <si>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</si>
  <si>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>(+)14 611 782,56</t>
  </si>
  <si>
    <t xml:space="preserve">20.ED.015                               </t>
  </si>
  <si>
    <t>(+)127 925 749,32</t>
  </si>
  <si>
    <t>(+)130 974 999,99</t>
  </si>
  <si>
    <t>(+)51 599 999,99</t>
  </si>
  <si>
    <t>(+)1 031 459,22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</si>
  <si>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</si>
  <si>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</si>
  <si>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</si>
  <si>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</si>
  <si>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</si>
  <si>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(-)1 031 459,22</t>
  </si>
  <si>
    <t>Самотечный канализационный коллектор по пр. Московскому в Фокинском районе г. Брянска. Переход под железной дорогой D350 мм</t>
  </si>
  <si>
    <t>12.EN.035                            Обл 12.EN.035</t>
  </si>
  <si>
    <t>(+)38 267 768,88</t>
  </si>
  <si>
    <t xml:space="preserve">12.EN.035                           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</si>
  <si>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</si>
  <si>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</si>
  <si>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(-)430 650,00</t>
  </si>
  <si>
    <t>(-)6 746 850,00</t>
  </si>
  <si>
    <t>Блочно-модульная котельная по адресу: Брянская область, г. Брянск, ул. Вокзальная, д. 172а</t>
  </si>
  <si>
    <t>30 МВт</t>
  </si>
  <si>
    <t>(+)5 000 000,00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</si>
  <si>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</si>
  <si>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</si>
  <si>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</si>
  <si>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(+)108 183,24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</si>
  <si>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</si>
  <si>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</si>
  <si>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</si>
  <si>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</si>
  <si>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(+)1 625 567,86</t>
  </si>
  <si>
    <t>12.WS.530                              Гор 12.WS.530</t>
  </si>
  <si>
    <t>(+)1 609 577,58</t>
  </si>
  <si>
    <t xml:space="preserve">12.WS.530                            </t>
  </si>
  <si>
    <t>12.WS.531                              Гор 12.WS.531</t>
  </si>
  <si>
    <t>(+)2 549 534,50</t>
  </si>
  <si>
    <t xml:space="preserve">12.WS.531                           </t>
  </si>
  <si>
    <t>(+)601 413,88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</si>
  <si>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</si>
  <si>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 xml:space="preserve">12.EN.035                               Гор 12.EN.035 </t>
  </si>
  <si>
    <t xml:space="preserve">12.EN.035                              </t>
  </si>
  <si>
    <t>(+)2 014 093,10</t>
  </si>
  <si>
    <t>(+)653 009,42</t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</si>
  <si>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</si>
  <si>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</si>
  <si>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</si>
  <si>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</si>
  <si>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</si>
  <si>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</si>
  <si>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</si>
  <si>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</si>
  <si>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</si>
  <si>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</si>
  <si>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</si>
  <si>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</si>
  <si>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t>(+)12 626 820,00</t>
  </si>
  <si>
    <t>(+)1 993 404,82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</si>
  <si>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</si>
  <si>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</si>
  <si>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</si>
  <si>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>Модернизация объектов уличного освещения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</si>
  <si>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</si>
  <si>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</si>
  <si>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</si>
  <si>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t>(+)2 202 384,46</t>
  </si>
  <si>
    <t xml:space="preserve">Основные мероприятие программы 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</si>
  <si>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</si>
  <si>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</si>
  <si>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</si>
  <si>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</si>
  <si>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(+)3 353 000,00</t>
  </si>
  <si>
    <t>(+)34 937 281,40</t>
  </si>
  <si>
    <t>(+)25 549 402,06</t>
  </si>
  <si>
    <t>ориентировочно 124 610 000,00</t>
  </si>
  <si>
    <t xml:space="preserve">А.В. Колесников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</si>
</sst>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07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0" borderId="1" xfId="0" applyNumberFormat="1" applyFont="1" applyFill="1" applyBorder="1" applyAlignment="1">
      <alignment horizontal="center" vertical="top"/>
    </xf>
    <xf numFmtId="0" fontId="21" fillId="0" borderId="8" xfId="0" applyFont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" fontId="21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0" fontId="21" fillId="0" borderId="5" xfId="0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5" fillId="0" borderId="9" xfId="0" applyFont="1" applyBorder="1" applyAlignment="1">
      <alignment horizontal="right" vertical="top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2"/>
  <sheetViews>
    <sheetView tabSelected="1" view="pageBreakPreview" zoomScaleNormal="100" zoomScaleSheetLayoutView="100" workbookViewId="0"/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80" t="s">
        <v>203</v>
      </c>
      <c r="H1" s="380"/>
      <c r="I1" s="380"/>
      <c r="J1" s="380"/>
      <c r="K1" s="380"/>
    </row>
    <row r="2" spans="1:14" ht="51" customHeight="1" x14ac:dyDescent="0.2">
      <c r="G2" s="380" t="s">
        <v>315</v>
      </c>
      <c r="H2" s="380"/>
      <c r="I2" s="380"/>
      <c r="J2" s="380"/>
      <c r="K2" s="380"/>
    </row>
    <row r="3" spans="1:14" ht="15.75" x14ac:dyDescent="0.25">
      <c r="A3" s="403" t="s">
        <v>35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1"/>
    </row>
    <row r="4" spans="1:14" ht="37.5" customHeight="1" thickBot="1" x14ac:dyDescent="0.25">
      <c r="A4" s="249"/>
      <c r="B4" s="404" t="s">
        <v>290</v>
      </c>
      <c r="C4" s="404"/>
      <c r="D4" s="404"/>
      <c r="E4" s="404"/>
      <c r="F4" s="404"/>
      <c r="G4" s="404"/>
      <c r="H4" s="404"/>
      <c r="I4" s="404"/>
      <c r="J4" s="249"/>
      <c r="K4" s="249"/>
      <c r="L4" s="1"/>
    </row>
    <row r="5" spans="1:14" ht="24.75" customHeight="1" thickBot="1" x14ac:dyDescent="0.25">
      <c r="A5" s="405" t="s">
        <v>55</v>
      </c>
      <c r="B5" s="397" t="s">
        <v>56</v>
      </c>
      <c r="C5" s="397" t="s">
        <v>30</v>
      </c>
      <c r="D5" s="397" t="s">
        <v>37</v>
      </c>
      <c r="E5" s="397" t="s">
        <v>36</v>
      </c>
      <c r="F5" s="397" t="s">
        <v>204</v>
      </c>
      <c r="G5" s="396" t="s">
        <v>205</v>
      </c>
      <c r="H5" s="396" t="s">
        <v>52</v>
      </c>
      <c r="I5" s="397" t="s">
        <v>34</v>
      </c>
      <c r="J5" s="397"/>
      <c r="K5" s="397"/>
      <c r="L5" s="2"/>
      <c r="M5" s="2"/>
      <c r="N5" s="2"/>
    </row>
    <row r="6" spans="1:14" ht="166.5" customHeight="1" thickBot="1" x14ac:dyDescent="0.25">
      <c r="A6" s="406"/>
      <c r="B6" s="397"/>
      <c r="C6" s="397"/>
      <c r="D6" s="397"/>
      <c r="E6" s="397"/>
      <c r="F6" s="397"/>
      <c r="G6" s="396"/>
      <c r="H6" s="396"/>
      <c r="I6" s="250" t="s">
        <v>28</v>
      </c>
      <c r="J6" s="250" t="s">
        <v>73</v>
      </c>
      <c r="K6" s="250" t="s">
        <v>168</v>
      </c>
      <c r="L6" s="54">
        <f>H112+H297+H350</f>
        <v>6570513504.3800001</v>
      </c>
      <c r="M6" s="95">
        <f>L6-L7</f>
        <v>0</v>
      </c>
      <c r="N6" s="55"/>
    </row>
    <row r="7" spans="1:14" ht="26.25" customHeight="1" thickBot="1" x14ac:dyDescent="0.25">
      <c r="A7" s="61" t="s">
        <v>43</v>
      </c>
      <c r="B7" s="62"/>
      <c r="C7" s="62"/>
      <c r="D7" s="62"/>
      <c r="E7" s="63"/>
      <c r="F7" s="63"/>
      <c r="G7" s="63"/>
      <c r="H7" s="57">
        <f>H8+H9+H10+H11</f>
        <v>6570513504.3799992</v>
      </c>
      <c r="I7" s="57">
        <f>SUM(I8:I11)</f>
        <v>5187063956.1199989</v>
      </c>
      <c r="J7" s="57">
        <f t="shared" ref="J7:K7" si="0">SUM(J8:J11)</f>
        <v>1142502397.6100001</v>
      </c>
      <c r="K7" s="57">
        <f t="shared" si="0"/>
        <v>240947150.65000001</v>
      </c>
      <c r="L7" s="56">
        <f>I7+J7+K7</f>
        <v>6570513504.3799992</v>
      </c>
      <c r="M7" s="2"/>
      <c r="N7" s="2"/>
    </row>
    <row r="8" spans="1:14" ht="22.5" customHeight="1" x14ac:dyDescent="0.2">
      <c r="A8" s="127" t="s">
        <v>41</v>
      </c>
      <c r="B8" s="128"/>
      <c r="C8" s="128"/>
      <c r="D8" s="128"/>
      <c r="E8" s="129"/>
      <c r="F8" s="129"/>
      <c r="G8" s="129"/>
      <c r="H8" s="29">
        <f>I8+J8+K8</f>
        <v>193272838.34000003</v>
      </c>
      <c r="I8" s="29">
        <f>I45+I50+I52+I55+I256+I258+I260+I262+I264+I266+I270+I274+I279+I280+I284+I285+I288+I291+I295+I47+I269+I294+I290+I273+I257+I275+I81+I82+I110+I44+I79+I80+I83+I106+I109+I54</f>
        <v>175041428.48000002</v>
      </c>
      <c r="J8" s="29">
        <f t="shared" ref="J8:K8" si="1">J45+J50+J52+J55+J256+J258+J260+J262+J264+J266+J270+J274+J279+J280+J284+J285+J288+J291+J295+J47+J269+J294+J290+J273+J257+J275+J81+J82+J110+J44+J79+J80+J83+J106+J109+J54</f>
        <v>13759639.34</v>
      </c>
      <c r="K8" s="29">
        <f t="shared" si="1"/>
        <v>4471770.5199999996</v>
      </c>
      <c r="L8" s="85"/>
      <c r="M8" s="2" t="s">
        <v>29</v>
      </c>
      <c r="N8" s="2"/>
    </row>
    <row r="9" spans="1:14" ht="21" customHeight="1" x14ac:dyDescent="0.2">
      <c r="A9" s="185" t="s">
        <v>42</v>
      </c>
      <c r="B9" s="131"/>
      <c r="C9" s="131"/>
      <c r="D9" s="131"/>
      <c r="E9" s="132"/>
      <c r="F9" s="132"/>
      <c r="G9" s="132"/>
      <c r="H9" s="8">
        <f>I9+J9+K9</f>
        <v>4749564988.04</v>
      </c>
      <c r="I9" s="8">
        <f>I46+I51+I53+I56+I111+I259+I261+I263+I265+I267+I271+I277+I281+I282+I286+I287+I289+I292+I296+I347+I348+I48+I276+I84+I107</f>
        <v>3566779449.6399999</v>
      </c>
      <c r="J9" s="8">
        <f>J46+J51+J53+J56+J111+J259+J261+J263+J265+J267+J271+J277+J281+J282+J286+J287+J289+J292+J296+J347+J348+J48+J276+J84+J107</f>
        <v>1038886958.27</v>
      </c>
      <c r="K9" s="8">
        <f>K46+K51+K53+K56+K111+K259+K261+K263+K265+K267+K271+K277+K281+K282+K286+K287+K289+K292+K296+K347+K348+K48+K276+K84+K107</f>
        <v>143898580.13</v>
      </c>
    </row>
    <row r="10" spans="1:14" ht="21" customHeight="1" x14ac:dyDescent="0.2">
      <c r="A10" s="370" t="s">
        <v>58</v>
      </c>
      <c r="B10" s="371"/>
      <c r="C10" s="371"/>
      <c r="D10" s="371"/>
      <c r="E10" s="372"/>
      <c r="F10" s="372"/>
      <c r="G10" s="372"/>
      <c r="H10" s="14">
        <f>I10+J10+K10</f>
        <v>1592738396.5999999</v>
      </c>
      <c r="I10" s="14">
        <f>I268+I272+I278+I283+I293+I349+I49</f>
        <v>1410305796.5999999</v>
      </c>
      <c r="J10" s="14">
        <f t="shared" ref="J10:K10" si="2">J268+J272+J278+J283+J293+J349+J49</f>
        <v>89855800</v>
      </c>
      <c r="K10" s="14">
        <f t="shared" si="2"/>
        <v>92576800</v>
      </c>
      <c r="L10" t="s">
        <v>29</v>
      </c>
      <c r="M10" s="84"/>
    </row>
    <row r="11" spans="1:14" ht="29.25" customHeight="1" thickBot="1" x14ac:dyDescent="0.25">
      <c r="A11" s="373" t="s">
        <v>397</v>
      </c>
      <c r="B11" s="133"/>
      <c r="C11" s="133"/>
      <c r="D11" s="133"/>
      <c r="E11" s="134"/>
      <c r="F11" s="134"/>
      <c r="G11" s="134"/>
      <c r="H11" s="13">
        <f>I11+J11+K11</f>
        <v>34937281.399999999</v>
      </c>
      <c r="I11" s="13">
        <f>I108</f>
        <v>34937281.399999999</v>
      </c>
      <c r="J11" s="13">
        <f t="shared" ref="J11:K11" si="3">J108</f>
        <v>0</v>
      </c>
      <c r="K11" s="13">
        <f t="shared" si="3"/>
        <v>0</v>
      </c>
      <c r="M11" s="84"/>
    </row>
    <row r="12" spans="1:14" ht="27.75" customHeight="1" thickBot="1" x14ac:dyDescent="0.25">
      <c r="A12" s="26" t="s">
        <v>266</v>
      </c>
      <c r="B12" s="4"/>
      <c r="C12" s="4"/>
      <c r="D12" s="4"/>
      <c r="E12" s="7"/>
      <c r="F12" s="7"/>
      <c r="G12" s="7"/>
      <c r="H12" s="114">
        <f>I12+J12+K12</f>
        <v>1536450031.6200001</v>
      </c>
      <c r="I12" s="114">
        <f>SUM(I13:I15)</f>
        <v>1536450031.6200001</v>
      </c>
      <c r="J12" s="96"/>
      <c r="K12" s="96"/>
      <c r="L12" s="37"/>
      <c r="M12" t="s">
        <v>29</v>
      </c>
    </row>
    <row r="13" spans="1:14" ht="24" customHeight="1" x14ac:dyDescent="0.2">
      <c r="A13" s="127" t="s">
        <v>41</v>
      </c>
      <c r="B13" s="128"/>
      <c r="C13" s="128"/>
      <c r="D13" s="128"/>
      <c r="E13" s="129"/>
      <c r="F13" s="129"/>
      <c r="G13" s="129"/>
      <c r="H13" s="135">
        <f>I13</f>
        <v>25328366.329999994</v>
      </c>
      <c r="I13" s="135">
        <f>I25+I32+I62+I66+I70+I89+I146+I183+I192+I195+I204+I213+I222+I230+I235+I244+I253</f>
        <v>25328366.329999994</v>
      </c>
      <c r="J13" s="136"/>
      <c r="K13" s="136"/>
    </row>
    <row r="14" spans="1:14" ht="21" customHeight="1" x14ac:dyDescent="0.2">
      <c r="A14" s="130" t="s">
        <v>42</v>
      </c>
      <c r="B14" s="131"/>
      <c r="C14" s="131"/>
      <c r="D14" s="131"/>
      <c r="E14" s="132"/>
      <c r="F14" s="132"/>
      <c r="G14" s="132"/>
      <c r="H14" s="90">
        <f>I14</f>
        <v>1123966344.7500002</v>
      </c>
      <c r="I14" s="90">
        <f>I26+I63+I67+I74+I184+I205+I214+I223+I231+I236+I245+I254</f>
        <v>1123966344.7500002</v>
      </c>
      <c r="J14" s="137"/>
      <c r="K14" s="137"/>
    </row>
    <row r="15" spans="1:14" ht="21.75" customHeight="1" thickBot="1" x14ac:dyDescent="0.25">
      <c r="A15" s="130" t="s">
        <v>58</v>
      </c>
      <c r="B15" s="131"/>
      <c r="C15" s="131"/>
      <c r="D15" s="131"/>
      <c r="E15" s="132"/>
      <c r="F15" s="132"/>
      <c r="G15" s="132"/>
      <c r="H15" s="90">
        <f>I15</f>
        <v>387155320.53999996</v>
      </c>
      <c r="I15" s="90">
        <f>I27+I185+I215+I224+I246</f>
        <v>387155320.53999996</v>
      </c>
      <c r="J15" s="137"/>
      <c r="K15" s="137"/>
    </row>
    <row r="16" spans="1:14" ht="25.5" customHeight="1" thickBot="1" x14ac:dyDescent="0.25">
      <c r="A16" s="398" t="s">
        <v>38</v>
      </c>
      <c r="B16" s="398"/>
      <c r="C16" s="398"/>
      <c r="D16" s="398"/>
      <c r="E16" s="398"/>
      <c r="F16" s="398"/>
      <c r="G16" s="398"/>
      <c r="H16" s="398"/>
      <c r="I16" s="398"/>
      <c r="J16" s="398"/>
      <c r="K16" s="398"/>
    </row>
    <row r="17" spans="1:14" ht="24.75" customHeight="1" thickBot="1" x14ac:dyDescent="0.25">
      <c r="A17" s="399" t="s">
        <v>39</v>
      </c>
      <c r="B17" s="399"/>
      <c r="C17" s="399"/>
      <c r="D17" s="399"/>
      <c r="E17" s="399"/>
      <c r="F17" s="399"/>
      <c r="G17" s="399"/>
      <c r="H17" s="399"/>
      <c r="I17" s="399"/>
      <c r="J17" s="399"/>
      <c r="K17" s="399"/>
    </row>
    <row r="18" spans="1:14" ht="57" customHeight="1" thickBot="1" x14ac:dyDescent="0.25">
      <c r="A18" s="10" t="s">
        <v>33</v>
      </c>
      <c r="B18" s="253"/>
      <c r="C18" s="254"/>
      <c r="D18" s="254"/>
      <c r="E18" s="255"/>
      <c r="F18" s="255"/>
      <c r="G18" s="255"/>
      <c r="H18" s="57">
        <f>K18+J18+I18</f>
        <v>382233852.42000002</v>
      </c>
      <c r="I18" s="57">
        <f t="shared" ref="I18:K18" si="4">I19+I28+I33</f>
        <v>229614339.62</v>
      </c>
      <c r="J18" s="57">
        <f t="shared" si="4"/>
        <v>102114462.29000001</v>
      </c>
      <c r="K18" s="57">
        <f t="shared" si="4"/>
        <v>50505050.509999998</v>
      </c>
      <c r="L18" s="67">
        <f>H19+H28+H33</f>
        <v>382233852.42000002</v>
      </c>
      <c r="M18" s="84"/>
      <c r="N18" s="84">
        <f>L18-H18</f>
        <v>0</v>
      </c>
    </row>
    <row r="19" spans="1:14" ht="51" x14ac:dyDescent="0.2">
      <c r="A19" s="110" t="s">
        <v>0</v>
      </c>
      <c r="B19" s="30" t="s">
        <v>45</v>
      </c>
      <c r="C19" s="71" t="s">
        <v>63</v>
      </c>
      <c r="D19" s="31" t="s">
        <v>28</v>
      </c>
      <c r="E19" s="177">
        <v>973133257.24000001</v>
      </c>
      <c r="F19" s="181">
        <v>564645117.25</v>
      </c>
      <c r="G19" s="177">
        <f>E19-F19</f>
        <v>408488139.99000001</v>
      </c>
      <c r="H19" s="29">
        <f>I19+J19+K19</f>
        <v>146369434</v>
      </c>
      <c r="I19" s="29">
        <f>SUM(I20:I24)</f>
        <v>146369434</v>
      </c>
      <c r="J19" s="29">
        <f>SUM(J20:J22)</f>
        <v>0</v>
      </c>
      <c r="K19" s="29">
        <f>SUM(K20:K22)</f>
        <v>0</v>
      </c>
      <c r="L19" s="43"/>
      <c r="M19" s="42"/>
      <c r="N19" s="66"/>
    </row>
    <row r="20" spans="1:14" ht="25.5" x14ac:dyDescent="0.2">
      <c r="A20" s="142" t="s">
        <v>206</v>
      </c>
      <c r="B20" s="148" t="s">
        <v>147</v>
      </c>
      <c r="C20" s="41"/>
      <c r="D20" s="41"/>
      <c r="E20" s="175"/>
      <c r="F20" s="175"/>
      <c r="G20" s="175"/>
      <c r="H20" s="8">
        <f>I20+J20+K20</f>
        <v>987024.38</v>
      </c>
      <c r="I20" s="8">
        <f>534497.11-200482.15+445078.84+207930.58</f>
        <v>987024.38</v>
      </c>
      <c r="J20" s="8"/>
      <c r="K20" s="8"/>
      <c r="L20" s="43" t="s">
        <v>381</v>
      </c>
      <c r="M20" s="42"/>
      <c r="N20" s="66"/>
    </row>
    <row r="21" spans="1:14" ht="38.25" x14ac:dyDescent="0.2">
      <c r="A21" s="142" t="s">
        <v>291</v>
      </c>
      <c r="B21" s="148" t="s">
        <v>295</v>
      </c>
      <c r="C21" s="41"/>
      <c r="D21" s="41"/>
      <c r="E21" s="175"/>
      <c r="F21" s="175"/>
      <c r="G21" s="175"/>
      <c r="H21" s="8">
        <f>I21+J21+K21</f>
        <v>1123149.29</v>
      </c>
      <c r="I21" s="8">
        <v>1123149.29</v>
      </c>
      <c r="J21" s="8"/>
      <c r="K21" s="8"/>
      <c r="L21" s="43"/>
      <c r="M21" s="42"/>
      <c r="N21" s="66"/>
    </row>
    <row r="22" spans="1:14" ht="25.5" x14ac:dyDescent="0.2">
      <c r="A22" s="142" t="s">
        <v>252</v>
      </c>
      <c r="B22" s="148" t="s">
        <v>294</v>
      </c>
      <c r="C22" s="41"/>
      <c r="D22" s="41"/>
      <c r="E22" s="175"/>
      <c r="F22" s="175"/>
      <c r="G22" s="175"/>
      <c r="H22" s="8">
        <f>I22+J22+K22</f>
        <v>33067481.149999999</v>
      </c>
      <c r="I22" s="8">
        <f>52915213.73-19847732.58</f>
        <v>33067481.149999999</v>
      </c>
      <c r="J22" s="8"/>
      <c r="K22" s="8"/>
      <c r="L22" s="43"/>
      <c r="M22" s="42"/>
      <c r="N22" s="66"/>
    </row>
    <row r="23" spans="1:14" ht="38.25" x14ac:dyDescent="0.2">
      <c r="A23" s="142" t="s">
        <v>292</v>
      </c>
      <c r="B23" s="148" t="s">
        <v>296</v>
      </c>
      <c r="C23" s="41"/>
      <c r="D23" s="41"/>
      <c r="E23" s="175"/>
      <c r="F23" s="175"/>
      <c r="G23" s="175"/>
      <c r="H23" s="8">
        <f t="shared" ref="H23:H24" si="5">I23+J23+K23</f>
        <v>19847732.579999998</v>
      </c>
      <c r="I23" s="8">
        <v>19847732.579999998</v>
      </c>
      <c r="J23" s="8"/>
      <c r="K23" s="8"/>
      <c r="L23" s="43"/>
      <c r="M23" s="42"/>
      <c r="N23" s="66"/>
    </row>
    <row r="24" spans="1:14" ht="38.25" x14ac:dyDescent="0.2">
      <c r="A24" s="142" t="s">
        <v>293</v>
      </c>
      <c r="B24" s="148" t="s">
        <v>297</v>
      </c>
      <c r="C24" s="41"/>
      <c r="D24" s="41"/>
      <c r="E24" s="175"/>
      <c r="F24" s="175"/>
      <c r="G24" s="175"/>
      <c r="H24" s="8">
        <f t="shared" si="5"/>
        <v>91344046.599999994</v>
      </c>
      <c r="I24" s="8">
        <v>91344046.599999994</v>
      </c>
      <c r="J24" s="8"/>
      <c r="K24" s="8"/>
      <c r="L24" s="43"/>
      <c r="M24" s="42"/>
      <c r="N24" s="66"/>
    </row>
    <row r="25" spans="1:14" ht="38.25" x14ac:dyDescent="0.2">
      <c r="A25" s="9" t="s">
        <v>64</v>
      </c>
      <c r="B25" s="5"/>
      <c r="C25" s="41"/>
      <c r="D25" s="41"/>
      <c r="E25" s="175"/>
      <c r="F25" s="175"/>
      <c r="G25" s="175"/>
      <c r="H25" s="90">
        <f>K25+J25+I25</f>
        <v>1728731.82</v>
      </c>
      <c r="I25" s="305">
        <v>1728731.82</v>
      </c>
      <c r="J25" s="8"/>
      <c r="K25" s="8"/>
      <c r="L25" s="43"/>
      <c r="M25" s="42"/>
      <c r="N25" s="66"/>
    </row>
    <row r="26" spans="1:14" ht="38.25" x14ac:dyDescent="0.2">
      <c r="A26" s="9" t="s">
        <v>84</v>
      </c>
      <c r="B26" s="5"/>
      <c r="C26" s="41"/>
      <c r="D26" s="41"/>
      <c r="E26" s="175"/>
      <c r="F26" s="175"/>
      <c r="G26" s="175"/>
      <c r="H26" s="90">
        <f>K26+J26+I26</f>
        <v>35257639.310000002</v>
      </c>
      <c r="I26" s="90">
        <v>35257639.310000002</v>
      </c>
      <c r="J26" s="8"/>
      <c r="K26" s="8"/>
      <c r="L26" s="43"/>
      <c r="M26" s="42"/>
      <c r="N26" s="66"/>
    </row>
    <row r="27" spans="1:14" ht="39" thickBot="1" x14ac:dyDescent="0.25">
      <c r="A27" s="15" t="s">
        <v>85</v>
      </c>
      <c r="B27" s="6"/>
      <c r="C27" s="173"/>
      <c r="D27" s="173"/>
      <c r="E27" s="176"/>
      <c r="F27" s="176"/>
      <c r="G27" s="176"/>
      <c r="H27" s="74">
        <f>K27+J27+I27</f>
        <v>109854761.38</v>
      </c>
      <c r="I27" s="74">
        <v>109854761.38</v>
      </c>
      <c r="J27" s="13"/>
      <c r="K27" s="13"/>
      <c r="L27" s="43"/>
      <c r="M27" s="42"/>
      <c r="N27" s="66"/>
    </row>
    <row r="28" spans="1:14" ht="82.5" customHeight="1" x14ac:dyDescent="0.2">
      <c r="A28" s="76" t="s">
        <v>15</v>
      </c>
      <c r="B28" s="30" t="s">
        <v>45</v>
      </c>
      <c r="C28" s="71" t="s">
        <v>222</v>
      </c>
      <c r="D28" s="71" t="s">
        <v>212</v>
      </c>
      <c r="E28" s="177">
        <v>2135313320</v>
      </c>
      <c r="F28" s="181">
        <v>5509465.1900000004</v>
      </c>
      <c r="G28" s="177">
        <f>E28-F28</f>
        <v>2129803854.8099999</v>
      </c>
      <c r="H28" s="29">
        <f t="shared" ref="H28:H32" si="6">I28+J28+K28</f>
        <v>50613233.75</v>
      </c>
      <c r="I28" s="29">
        <f>SUM(I29:I31)</f>
        <v>108183.24</v>
      </c>
      <c r="J28" s="29">
        <f t="shared" ref="J28:K28" si="7">SUM(J29:J31)</f>
        <v>0</v>
      </c>
      <c r="K28" s="29">
        <f t="shared" si="7"/>
        <v>50505050.509999998</v>
      </c>
      <c r="L28" s="43"/>
      <c r="M28" s="42"/>
      <c r="N28" s="66"/>
    </row>
    <row r="29" spans="1:14" ht="25.5" x14ac:dyDescent="0.2">
      <c r="A29" s="142" t="s">
        <v>362</v>
      </c>
      <c r="B29" s="148" t="s">
        <v>363</v>
      </c>
      <c r="C29" s="122"/>
      <c r="D29" s="122"/>
      <c r="E29" s="147"/>
      <c r="F29" s="347"/>
      <c r="G29" s="147"/>
      <c r="H29" s="8">
        <f t="shared" si="6"/>
        <v>108183.24</v>
      </c>
      <c r="I29" s="301">
        <v>108183.24</v>
      </c>
      <c r="J29" s="301"/>
      <c r="K29" s="301"/>
      <c r="L29" s="43" t="s">
        <v>364</v>
      </c>
      <c r="M29" s="42"/>
      <c r="N29" s="66"/>
    </row>
    <row r="30" spans="1:14" ht="25.5" x14ac:dyDescent="0.2">
      <c r="A30" s="81" t="s">
        <v>169</v>
      </c>
      <c r="B30" s="77" t="s">
        <v>166</v>
      </c>
      <c r="C30" s="93"/>
      <c r="D30" s="93"/>
      <c r="E30" s="194"/>
      <c r="F30" s="175"/>
      <c r="G30" s="194"/>
      <c r="H30" s="8">
        <f t="shared" si="6"/>
        <v>505050.51</v>
      </c>
      <c r="I30" s="8"/>
      <c r="J30" s="8"/>
      <c r="K30" s="8">
        <v>505050.51</v>
      </c>
      <c r="L30" s="43"/>
      <c r="M30" s="42"/>
      <c r="N30" s="66"/>
    </row>
    <row r="31" spans="1:14" ht="25.5" x14ac:dyDescent="0.2">
      <c r="A31" s="275" t="s">
        <v>170</v>
      </c>
      <c r="B31" s="77" t="s">
        <v>167</v>
      </c>
      <c r="C31" s="217"/>
      <c r="D31" s="217"/>
      <c r="E31" s="228"/>
      <c r="F31" s="197"/>
      <c r="G31" s="228"/>
      <c r="H31" s="8">
        <f t="shared" si="6"/>
        <v>50000000</v>
      </c>
      <c r="I31" s="14"/>
      <c r="J31" s="14"/>
      <c r="K31" s="14">
        <v>50000000</v>
      </c>
      <c r="L31" s="43"/>
      <c r="M31" s="42"/>
      <c r="N31" s="66"/>
    </row>
    <row r="32" spans="1:14" ht="39" thickBot="1" x14ac:dyDescent="0.25">
      <c r="A32" s="15" t="s">
        <v>64</v>
      </c>
      <c r="B32" s="78"/>
      <c r="C32" s="107"/>
      <c r="D32" s="107"/>
      <c r="E32" s="100"/>
      <c r="F32" s="70"/>
      <c r="G32" s="100"/>
      <c r="H32" s="74">
        <f t="shared" si="6"/>
        <v>923984.25</v>
      </c>
      <c r="I32" s="302">
        <v>923984.25</v>
      </c>
      <c r="J32" s="259"/>
      <c r="K32" s="259"/>
      <c r="L32" s="43"/>
      <c r="M32" s="42"/>
      <c r="N32" s="66"/>
    </row>
    <row r="33" spans="1:14" ht="56.25" customHeight="1" x14ac:dyDescent="0.2">
      <c r="A33" s="211" t="s">
        <v>162</v>
      </c>
      <c r="B33" s="206" t="s">
        <v>45</v>
      </c>
      <c r="C33" s="122" t="s">
        <v>151</v>
      </c>
      <c r="D33" s="122" t="s">
        <v>73</v>
      </c>
      <c r="E33" s="120">
        <v>187356447.83000001</v>
      </c>
      <c r="F33" s="79">
        <v>2105263.16</v>
      </c>
      <c r="G33" s="120">
        <f>E33-F33</f>
        <v>185251184.67000002</v>
      </c>
      <c r="H33" s="68">
        <f t="shared" ref="H33:H38" si="8">I33+J33+K33</f>
        <v>185251184.67000002</v>
      </c>
      <c r="I33" s="79">
        <f>SUM(I34:I35)</f>
        <v>83136722.379999995</v>
      </c>
      <c r="J33" s="79">
        <f>SUM(J34:J35)</f>
        <v>102114462.29000001</v>
      </c>
      <c r="K33" s="79">
        <f>SUM(K34:K35)</f>
        <v>0</v>
      </c>
      <c r="L33" s="43"/>
      <c r="M33" s="42"/>
      <c r="N33" s="66"/>
    </row>
    <row r="34" spans="1:14" ht="26.25" customHeight="1" x14ac:dyDescent="0.2">
      <c r="A34" s="142" t="s">
        <v>164</v>
      </c>
      <c r="B34" s="148" t="s">
        <v>154</v>
      </c>
      <c r="C34" s="263"/>
      <c r="D34" s="263"/>
      <c r="E34" s="265"/>
      <c r="F34" s="266"/>
      <c r="G34" s="265"/>
      <c r="H34" s="69">
        <f t="shared" si="8"/>
        <v>1852511.85</v>
      </c>
      <c r="I34" s="69">
        <f>821052.63+1031459.22</f>
        <v>1852511.85</v>
      </c>
      <c r="J34" s="69">
        <f>1031459.22-1031459.22</f>
        <v>0</v>
      </c>
      <c r="K34" s="69"/>
      <c r="L34" s="43" t="s">
        <v>343</v>
      </c>
      <c r="M34" s="43" t="s">
        <v>349</v>
      </c>
      <c r="N34" s="66"/>
    </row>
    <row r="35" spans="1:14" ht="26.25" customHeight="1" thickBot="1" x14ac:dyDescent="0.25">
      <c r="A35" s="170" t="s">
        <v>165</v>
      </c>
      <c r="B35" s="235" t="s">
        <v>158</v>
      </c>
      <c r="C35" s="267"/>
      <c r="D35" s="267"/>
      <c r="E35" s="158"/>
      <c r="F35" s="268"/>
      <c r="G35" s="158"/>
      <c r="H35" s="86">
        <f t="shared" si="8"/>
        <v>183398672.81999999</v>
      </c>
      <c r="I35" s="86">
        <v>81284210.530000001</v>
      </c>
      <c r="J35" s="86">
        <v>102114462.29000001</v>
      </c>
      <c r="K35" s="86"/>
      <c r="L35" s="43"/>
      <c r="M35" s="43"/>
      <c r="N35" s="66"/>
    </row>
    <row r="36" spans="1:14" ht="39" thickBot="1" x14ac:dyDescent="0.25">
      <c r="A36" s="10" t="s">
        <v>31</v>
      </c>
      <c r="B36" s="159"/>
      <c r="C36" s="160"/>
      <c r="D36" s="160"/>
      <c r="E36" s="138"/>
      <c r="F36" s="139"/>
      <c r="G36" s="138"/>
      <c r="H36" s="307">
        <f t="shared" si="8"/>
        <v>1543936463.1600001</v>
      </c>
      <c r="I36" s="116">
        <f t="shared" ref="I36:K36" si="9">I37</f>
        <v>1543936463.1600001</v>
      </c>
      <c r="J36" s="116">
        <f t="shared" si="9"/>
        <v>0</v>
      </c>
      <c r="K36" s="116">
        <f t="shared" si="9"/>
        <v>0</v>
      </c>
      <c r="L36" s="43"/>
      <c r="M36" s="42"/>
      <c r="N36" s="66"/>
    </row>
    <row r="37" spans="1:14" ht="27.75" thickBot="1" x14ac:dyDescent="0.25">
      <c r="A37" s="294" t="s">
        <v>404</v>
      </c>
      <c r="B37" s="273"/>
      <c r="C37" s="160"/>
      <c r="D37" s="274"/>
      <c r="E37" s="138"/>
      <c r="F37" s="299"/>
      <c r="G37" s="299"/>
      <c r="H37" s="308">
        <f t="shared" si="8"/>
        <v>1543936463.1600001</v>
      </c>
      <c r="I37" s="308">
        <f>I38+I41</f>
        <v>1543936463.1600001</v>
      </c>
      <c r="J37" s="308">
        <f t="shared" ref="J37:K37" si="10">J38+J41</f>
        <v>0</v>
      </c>
      <c r="K37" s="308">
        <f t="shared" si="10"/>
        <v>0</v>
      </c>
      <c r="L37" s="43"/>
      <c r="M37" s="42"/>
      <c r="N37" s="66"/>
    </row>
    <row r="38" spans="1:14" ht="58.5" customHeight="1" x14ac:dyDescent="0.2">
      <c r="A38" s="211" t="s">
        <v>207</v>
      </c>
      <c r="B38" s="206" t="s">
        <v>45</v>
      </c>
      <c r="C38" s="322" t="s">
        <v>221</v>
      </c>
      <c r="D38" s="239" t="s">
        <v>28</v>
      </c>
      <c r="E38" s="147">
        <v>1561594340</v>
      </c>
      <c r="F38" s="321">
        <v>0</v>
      </c>
      <c r="G38" s="147">
        <f>E38-F38</f>
        <v>1561594340</v>
      </c>
      <c r="H38" s="68">
        <f t="shared" si="8"/>
        <v>1540583463.1600001</v>
      </c>
      <c r="I38" s="88">
        <f>SUM(I39:I40)</f>
        <v>1540583463.1600001</v>
      </c>
      <c r="J38" s="88">
        <f>SUM(J40)</f>
        <v>0</v>
      </c>
      <c r="K38" s="88">
        <f>SUM(K40)</f>
        <v>0</v>
      </c>
      <c r="L38" s="43"/>
      <c r="M38" s="42"/>
      <c r="N38" s="66"/>
    </row>
    <row r="39" spans="1:14" ht="25.5" x14ac:dyDescent="0.2">
      <c r="A39" s="142" t="s">
        <v>258</v>
      </c>
      <c r="B39" s="77" t="s">
        <v>217</v>
      </c>
      <c r="C39" s="261"/>
      <c r="D39" s="269"/>
      <c r="E39" s="265"/>
      <c r="F39" s="155"/>
      <c r="G39" s="270"/>
      <c r="H39" s="89">
        <f>SUM(I39:K39)</f>
        <v>77029173.159999996</v>
      </c>
      <c r="I39" s="89">
        <v>77029173.159999996</v>
      </c>
      <c r="J39" s="89"/>
      <c r="K39" s="89"/>
      <c r="L39" s="43"/>
      <c r="M39" s="42"/>
      <c r="N39" s="66"/>
    </row>
    <row r="40" spans="1:14" ht="26.25" thickBot="1" x14ac:dyDescent="0.25">
      <c r="A40" s="170" t="s">
        <v>259</v>
      </c>
      <c r="B40" s="78" t="s">
        <v>218</v>
      </c>
      <c r="C40" s="267"/>
      <c r="D40" s="267"/>
      <c r="E40" s="158"/>
      <c r="F40" s="268"/>
      <c r="G40" s="158"/>
      <c r="H40" s="86">
        <f>I40+J40+K40</f>
        <v>1463554290</v>
      </c>
      <c r="I40" s="86">
        <v>1463554290</v>
      </c>
      <c r="J40" s="86"/>
      <c r="K40" s="86"/>
      <c r="L40" s="43"/>
      <c r="M40" s="42"/>
      <c r="N40" s="66"/>
    </row>
    <row r="41" spans="1:14" ht="28.5" x14ac:dyDescent="0.2">
      <c r="A41" s="211" t="s">
        <v>408</v>
      </c>
      <c r="B41" s="206" t="s">
        <v>49</v>
      </c>
      <c r="C41" s="322" t="s">
        <v>405</v>
      </c>
      <c r="D41" s="239" t="s">
        <v>28</v>
      </c>
      <c r="E41" s="120">
        <v>3353000</v>
      </c>
      <c r="F41" s="181">
        <v>0</v>
      </c>
      <c r="G41" s="24">
        <f>E41-F41</f>
        <v>3353000</v>
      </c>
      <c r="H41" s="68">
        <f>I41+J41+K41</f>
        <v>3353000</v>
      </c>
      <c r="I41" s="88">
        <f>SUM(I42)</f>
        <v>3353000</v>
      </c>
      <c r="J41" s="88">
        <f t="shared" ref="J41:K41" si="11">SUM(J42)</f>
        <v>0</v>
      </c>
      <c r="K41" s="88">
        <f t="shared" si="11"/>
        <v>0</v>
      </c>
      <c r="L41" s="43"/>
      <c r="M41" s="42"/>
      <c r="N41" s="66"/>
    </row>
    <row r="42" spans="1:14" ht="26.25" thickBot="1" x14ac:dyDescent="0.25">
      <c r="A42" s="170" t="s">
        <v>406</v>
      </c>
      <c r="B42" s="235" t="s">
        <v>407</v>
      </c>
      <c r="C42" s="115"/>
      <c r="D42" s="115"/>
      <c r="E42" s="374"/>
      <c r="F42" s="86"/>
      <c r="G42" s="374"/>
      <c r="H42" s="86">
        <f>I42+J42+K42</f>
        <v>3353000</v>
      </c>
      <c r="I42" s="86">
        <v>3353000</v>
      </c>
      <c r="J42" s="86"/>
      <c r="K42" s="86"/>
      <c r="L42" s="43" t="s">
        <v>409</v>
      </c>
      <c r="M42" s="42"/>
      <c r="N42" s="66"/>
    </row>
    <row r="43" spans="1:14" ht="26.25" thickBot="1" x14ac:dyDescent="0.25">
      <c r="A43" s="248" t="s">
        <v>46</v>
      </c>
      <c r="B43" s="48"/>
      <c r="C43" s="48"/>
      <c r="D43" s="48"/>
      <c r="E43" s="49"/>
      <c r="F43" s="49"/>
      <c r="G43" s="49"/>
      <c r="H43" s="50">
        <f>H18+H36</f>
        <v>1926170315.5800002</v>
      </c>
      <c r="I43" s="50">
        <f>SUM(I44:I56)</f>
        <v>1773550802.78</v>
      </c>
      <c r="J43" s="50">
        <f>SUM(J45:J56)</f>
        <v>102114462.29000001</v>
      </c>
      <c r="K43" s="50">
        <f>SUM(K45:K56)</f>
        <v>50505050.509999998</v>
      </c>
      <c r="L43" s="94">
        <f>I43+J43+K43</f>
        <v>1926170315.5799999</v>
      </c>
      <c r="M43" s="84">
        <f>SUM(H44:H56)</f>
        <v>1926170315.5799999</v>
      </c>
    </row>
    <row r="44" spans="1:14" ht="25.5" x14ac:dyDescent="0.2">
      <c r="A44" s="142" t="s">
        <v>362</v>
      </c>
      <c r="B44" s="148" t="s">
        <v>363</v>
      </c>
      <c r="C44" s="363"/>
      <c r="D44" s="363"/>
      <c r="E44" s="364"/>
      <c r="F44" s="364"/>
      <c r="G44" s="364"/>
      <c r="H44" s="301">
        <f t="shared" ref="H44:H56" si="12">I44+J44+K44</f>
        <v>108183.24</v>
      </c>
      <c r="I44" s="181">
        <f>I29</f>
        <v>108183.24</v>
      </c>
      <c r="J44" s="181">
        <f t="shared" ref="J44:K44" si="13">J29</f>
        <v>0</v>
      </c>
      <c r="K44" s="181">
        <f t="shared" si="13"/>
        <v>0</v>
      </c>
      <c r="L44" s="362"/>
      <c r="M44" s="94"/>
    </row>
    <row r="45" spans="1:14" ht="25.5" x14ac:dyDescent="0.2">
      <c r="A45" s="143" t="s">
        <v>206</v>
      </c>
      <c r="B45" s="206" t="s">
        <v>148</v>
      </c>
      <c r="C45" s="236"/>
      <c r="D45" s="236"/>
      <c r="E45" s="237"/>
      <c r="F45" s="237"/>
      <c r="G45" s="237"/>
      <c r="H45" s="301">
        <f t="shared" si="12"/>
        <v>987024.38</v>
      </c>
      <c r="I45" s="79">
        <f>I20</f>
        <v>987024.38</v>
      </c>
      <c r="J45" s="79">
        <f>J20</f>
        <v>0</v>
      </c>
      <c r="K45" s="79">
        <f>K20</f>
        <v>0</v>
      </c>
      <c r="L45" s="141"/>
      <c r="M45" s="82"/>
    </row>
    <row r="46" spans="1:14" ht="25.5" x14ac:dyDescent="0.2">
      <c r="A46" s="142" t="s">
        <v>253</v>
      </c>
      <c r="B46" s="148" t="s">
        <v>213</v>
      </c>
      <c r="C46" s="240"/>
      <c r="D46" s="240"/>
      <c r="E46" s="241"/>
      <c r="F46" s="241"/>
      <c r="G46" s="241"/>
      <c r="H46" s="8">
        <f t="shared" si="12"/>
        <v>33067481.149999999</v>
      </c>
      <c r="I46" s="69">
        <f t="shared" ref="I46:K46" si="14">I22</f>
        <v>33067481.149999999</v>
      </c>
      <c r="J46" s="69">
        <f t="shared" si="14"/>
        <v>0</v>
      </c>
      <c r="K46" s="69">
        <f t="shared" si="14"/>
        <v>0</v>
      </c>
      <c r="L46" s="141"/>
      <c r="M46" s="82" t="s">
        <v>29</v>
      </c>
    </row>
    <row r="47" spans="1:14" ht="25.5" x14ac:dyDescent="0.2">
      <c r="A47" s="142" t="s">
        <v>291</v>
      </c>
      <c r="B47" s="148" t="s">
        <v>298</v>
      </c>
      <c r="C47" s="236"/>
      <c r="D47" s="236"/>
      <c r="E47" s="237"/>
      <c r="F47" s="237"/>
      <c r="G47" s="237"/>
      <c r="H47" s="8">
        <f t="shared" si="12"/>
        <v>1123149.29</v>
      </c>
      <c r="I47" s="79">
        <f>I21</f>
        <v>1123149.29</v>
      </c>
      <c r="J47" s="79">
        <f>J21</f>
        <v>0</v>
      </c>
      <c r="K47" s="79">
        <f>K21</f>
        <v>0</v>
      </c>
      <c r="L47" s="141"/>
      <c r="M47" s="82"/>
    </row>
    <row r="48" spans="1:14" ht="25.5" x14ac:dyDescent="0.2">
      <c r="A48" s="142" t="s">
        <v>292</v>
      </c>
      <c r="B48" s="148" t="s">
        <v>298</v>
      </c>
      <c r="C48" s="236"/>
      <c r="D48" s="236"/>
      <c r="E48" s="237"/>
      <c r="F48" s="237"/>
      <c r="G48" s="237"/>
      <c r="H48" s="8">
        <f t="shared" si="12"/>
        <v>19847732.579999998</v>
      </c>
      <c r="I48" s="79">
        <f t="shared" ref="I48:K49" si="15">I23</f>
        <v>19847732.579999998</v>
      </c>
      <c r="J48" s="79">
        <f t="shared" si="15"/>
        <v>0</v>
      </c>
      <c r="K48" s="79">
        <f t="shared" si="15"/>
        <v>0</v>
      </c>
      <c r="L48" s="141"/>
      <c r="M48" s="82"/>
    </row>
    <row r="49" spans="1:14" ht="25.5" x14ac:dyDescent="0.2">
      <c r="A49" s="142" t="s">
        <v>293</v>
      </c>
      <c r="B49" s="148" t="s">
        <v>298</v>
      </c>
      <c r="C49" s="236"/>
      <c r="D49" s="236"/>
      <c r="E49" s="237"/>
      <c r="F49" s="237"/>
      <c r="G49" s="237"/>
      <c r="H49" s="8">
        <f t="shared" si="12"/>
        <v>91344046.599999994</v>
      </c>
      <c r="I49" s="79">
        <f t="shared" si="15"/>
        <v>91344046.599999994</v>
      </c>
      <c r="J49" s="79">
        <f t="shared" si="15"/>
        <v>0</v>
      </c>
      <c r="K49" s="79">
        <f t="shared" si="15"/>
        <v>0</v>
      </c>
      <c r="L49" s="141"/>
      <c r="M49" s="82"/>
    </row>
    <row r="50" spans="1:14" ht="25.5" x14ac:dyDescent="0.2">
      <c r="A50" s="142" t="s">
        <v>164</v>
      </c>
      <c r="B50" s="148" t="s">
        <v>214</v>
      </c>
      <c r="C50" s="236"/>
      <c r="D50" s="236"/>
      <c r="E50" s="237"/>
      <c r="F50" s="237"/>
      <c r="G50" s="237"/>
      <c r="H50" s="8">
        <f t="shared" si="12"/>
        <v>1852511.85</v>
      </c>
      <c r="I50" s="79">
        <f t="shared" ref="I50:K51" si="16">I34</f>
        <v>1852511.85</v>
      </c>
      <c r="J50" s="79">
        <f t="shared" si="16"/>
        <v>0</v>
      </c>
      <c r="K50" s="79">
        <f t="shared" si="16"/>
        <v>0</v>
      </c>
      <c r="L50" s="141"/>
      <c r="M50" s="82"/>
    </row>
    <row r="51" spans="1:14" ht="25.5" x14ac:dyDescent="0.2">
      <c r="A51" s="142" t="s">
        <v>165</v>
      </c>
      <c r="B51" s="148" t="s">
        <v>214</v>
      </c>
      <c r="C51" s="236"/>
      <c r="D51" s="236"/>
      <c r="E51" s="237"/>
      <c r="F51" s="237"/>
      <c r="G51" s="237"/>
      <c r="H51" s="8">
        <f t="shared" si="12"/>
        <v>183398672.81999999</v>
      </c>
      <c r="I51" s="79">
        <f t="shared" si="16"/>
        <v>81284210.530000001</v>
      </c>
      <c r="J51" s="79">
        <f t="shared" si="16"/>
        <v>102114462.29000001</v>
      </c>
      <c r="K51" s="79">
        <f t="shared" si="16"/>
        <v>0</v>
      </c>
      <c r="L51" s="141"/>
      <c r="M51" s="82"/>
    </row>
    <row r="52" spans="1:14" ht="25.5" x14ac:dyDescent="0.2">
      <c r="A52" s="81" t="s">
        <v>169</v>
      </c>
      <c r="B52" s="77" t="s">
        <v>215</v>
      </c>
      <c r="C52" s="236"/>
      <c r="D52" s="236"/>
      <c r="E52" s="237"/>
      <c r="F52" s="237"/>
      <c r="G52" s="237"/>
      <c r="H52" s="8">
        <f t="shared" si="12"/>
        <v>505050.51</v>
      </c>
      <c r="I52" s="79">
        <f t="shared" ref="I52:K53" si="17">I30</f>
        <v>0</v>
      </c>
      <c r="J52" s="79">
        <f t="shared" si="17"/>
        <v>0</v>
      </c>
      <c r="K52" s="79">
        <f t="shared" si="17"/>
        <v>505050.51</v>
      </c>
      <c r="L52" s="141"/>
      <c r="M52" s="82"/>
    </row>
    <row r="53" spans="1:14" ht="25.5" x14ac:dyDescent="0.2">
      <c r="A53" s="81" t="s">
        <v>170</v>
      </c>
      <c r="B53" s="77" t="s">
        <v>216</v>
      </c>
      <c r="C53" s="236"/>
      <c r="D53" s="236"/>
      <c r="E53" s="237"/>
      <c r="F53" s="237"/>
      <c r="G53" s="237"/>
      <c r="H53" s="8">
        <f t="shared" si="12"/>
        <v>50000000</v>
      </c>
      <c r="I53" s="79">
        <f t="shared" si="17"/>
        <v>0</v>
      </c>
      <c r="J53" s="79">
        <f t="shared" si="17"/>
        <v>0</v>
      </c>
      <c r="K53" s="79">
        <f t="shared" si="17"/>
        <v>50000000</v>
      </c>
      <c r="L53" s="141"/>
      <c r="M53" s="82"/>
    </row>
    <row r="54" spans="1:14" ht="25.5" x14ac:dyDescent="0.2">
      <c r="A54" s="143" t="s">
        <v>406</v>
      </c>
      <c r="B54" s="206" t="s">
        <v>407</v>
      </c>
      <c r="C54" s="236"/>
      <c r="D54" s="236"/>
      <c r="E54" s="237"/>
      <c r="F54" s="237"/>
      <c r="G54" s="237"/>
      <c r="H54" s="8">
        <f t="shared" si="12"/>
        <v>3353000</v>
      </c>
      <c r="I54" s="79">
        <f>I42</f>
        <v>3353000</v>
      </c>
      <c r="J54" s="79">
        <f t="shared" ref="J54:K54" si="18">J42</f>
        <v>0</v>
      </c>
      <c r="K54" s="79">
        <f t="shared" si="18"/>
        <v>0</v>
      </c>
      <c r="L54" s="141"/>
      <c r="M54" s="82"/>
    </row>
    <row r="55" spans="1:14" ht="25.5" x14ac:dyDescent="0.2">
      <c r="A55" s="143" t="s">
        <v>258</v>
      </c>
      <c r="B55" s="212" t="s">
        <v>219</v>
      </c>
      <c r="C55" s="58"/>
      <c r="D55" s="58"/>
      <c r="E55" s="59"/>
      <c r="F55" s="59"/>
      <c r="G55" s="59"/>
      <c r="H55" s="8">
        <f t="shared" si="12"/>
        <v>77029173.159999996</v>
      </c>
      <c r="I55" s="8">
        <f t="shared" ref="I55:K56" si="19">I39</f>
        <v>77029173.159999996</v>
      </c>
      <c r="J55" s="8">
        <f t="shared" si="19"/>
        <v>0</v>
      </c>
      <c r="K55" s="8">
        <f t="shared" si="19"/>
        <v>0</v>
      </c>
    </row>
    <row r="56" spans="1:14" ht="26.25" thickBot="1" x14ac:dyDescent="0.25">
      <c r="A56" s="170" t="s">
        <v>259</v>
      </c>
      <c r="B56" s="77" t="s">
        <v>220</v>
      </c>
      <c r="C56" s="58"/>
      <c r="D56" s="58"/>
      <c r="E56" s="59"/>
      <c r="F56" s="59"/>
      <c r="G56" s="59"/>
      <c r="H56" s="8">
        <f t="shared" si="12"/>
        <v>1463554290</v>
      </c>
      <c r="I56" s="8">
        <f t="shared" si="19"/>
        <v>1463554290</v>
      </c>
      <c r="J56" s="8">
        <f t="shared" si="19"/>
        <v>0</v>
      </c>
      <c r="K56" s="8">
        <f t="shared" si="19"/>
        <v>0</v>
      </c>
    </row>
    <row r="57" spans="1:14" ht="21" customHeight="1" thickBot="1" x14ac:dyDescent="0.25">
      <c r="A57" s="399" t="s">
        <v>105</v>
      </c>
      <c r="B57" s="399"/>
      <c r="C57" s="399"/>
      <c r="D57" s="399"/>
      <c r="E57" s="399"/>
      <c r="F57" s="399"/>
      <c r="G57" s="399"/>
      <c r="H57" s="399"/>
      <c r="I57" s="399"/>
      <c r="J57" s="399"/>
      <c r="K57" s="399"/>
    </row>
    <row r="58" spans="1:14" ht="40.5" customHeight="1" thickBot="1" x14ac:dyDescent="0.25">
      <c r="A58" s="10" t="s">
        <v>32</v>
      </c>
      <c r="B58" s="300"/>
      <c r="C58" s="299"/>
      <c r="D58" s="299"/>
      <c r="E58" s="299"/>
      <c r="F58" s="299"/>
      <c r="G58" s="299"/>
      <c r="H58" s="314">
        <f t="shared" ref="H58:H65" si="20">I58+J58+K58</f>
        <v>47244772.400000006</v>
      </c>
      <c r="I58" s="314">
        <f>I59</f>
        <v>47244772.400000006</v>
      </c>
      <c r="J58" s="314">
        <f>J59</f>
        <v>0</v>
      </c>
      <c r="K58" s="314">
        <f>K59</f>
        <v>0</v>
      </c>
    </row>
    <row r="59" spans="1:14" ht="43.5" customHeight="1" thickBot="1" x14ac:dyDescent="0.25">
      <c r="A59" s="46" t="s">
        <v>19</v>
      </c>
      <c r="B59" s="300"/>
      <c r="C59" s="299"/>
      <c r="D59" s="299"/>
      <c r="E59" s="299"/>
      <c r="F59" s="299"/>
      <c r="G59" s="299"/>
      <c r="H59" s="180">
        <f t="shared" si="20"/>
        <v>47244772.400000006</v>
      </c>
      <c r="I59" s="180">
        <f>I60+I64+I68+I71+I75</f>
        <v>47244772.400000006</v>
      </c>
      <c r="J59" s="180">
        <f>J60+J64+J68+J71</f>
        <v>0</v>
      </c>
      <c r="K59" s="180">
        <f>K60+K64+K68+K71</f>
        <v>0</v>
      </c>
      <c r="L59" s="3">
        <f>H60+H64+H68+H71</f>
        <v>6962910.4199999999</v>
      </c>
    </row>
    <row r="60" spans="1:14" ht="63.75" x14ac:dyDescent="0.2">
      <c r="A60" s="169" t="s">
        <v>138</v>
      </c>
      <c r="B60" s="174" t="s">
        <v>59</v>
      </c>
      <c r="C60" s="76" t="s">
        <v>137</v>
      </c>
      <c r="D60" s="71" t="s">
        <v>28</v>
      </c>
      <c r="E60" s="88">
        <v>303900000</v>
      </c>
      <c r="F60" s="88">
        <v>1529341.57</v>
      </c>
      <c r="G60" s="177">
        <f>E60-F60</f>
        <v>302370658.43000001</v>
      </c>
      <c r="H60" s="24">
        <f t="shared" si="20"/>
        <v>2202384.46</v>
      </c>
      <c r="I60" s="147">
        <f>SUM(I61)</f>
        <v>2202384.46</v>
      </c>
      <c r="J60" s="147">
        <f t="shared" ref="J60:K60" si="21">SUM(J61)</f>
        <v>0</v>
      </c>
      <c r="K60" s="147">
        <f t="shared" si="21"/>
        <v>0</v>
      </c>
      <c r="L60" s="43"/>
      <c r="M60" s="43"/>
      <c r="N60" s="43"/>
    </row>
    <row r="61" spans="1:14" ht="36" customHeight="1" x14ac:dyDescent="0.2">
      <c r="A61" s="142" t="s">
        <v>344</v>
      </c>
      <c r="B61" s="148" t="s">
        <v>347</v>
      </c>
      <c r="C61" s="312"/>
      <c r="D61" s="331"/>
      <c r="E61" s="120"/>
      <c r="F61" s="120"/>
      <c r="G61" s="120"/>
      <c r="H61" s="23">
        <f t="shared" si="20"/>
        <v>2202384.46</v>
      </c>
      <c r="I61" s="147">
        <f>250281.52+1952102.94</f>
        <v>2202384.46</v>
      </c>
      <c r="J61" s="24"/>
      <c r="K61" s="24"/>
      <c r="L61" s="43" t="s">
        <v>403</v>
      </c>
      <c r="M61" s="43"/>
      <c r="N61" s="43"/>
    </row>
    <row r="62" spans="1:14" ht="38.25" x14ac:dyDescent="0.2">
      <c r="A62" s="142" t="s">
        <v>86</v>
      </c>
      <c r="B62" s="257"/>
      <c r="C62" s="262"/>
      <c r="D62" s="262"/>
      <c r="E62" s="262"/>
      <c r="F62" s="262"/>
      <c r="G62" s="262"/>
      <c r="H62" s="339">
        <f t="shared" si="20"/>
        <v>836615.54</v>
      </c>
      <c r="I62" s="339">
        <v>836615.54</v>
      </c>
      <c r="J62" s="339"/>
      <c r="K62" s="339"/>
      <c r="L62" s="43"/>
      <c r="M62" s="43"/>
      <c r="N62" s="43"/>
    </row>
    <row r="63" spans="1:14" ht="39" thickBot="1" x14ac:dyDescent="0.25">
      <c r="A63" s="144" t="s">
        <v>211</v>
      </c>
      <c r="B63" s="258"/>
      <c r="C63" s="156"/>
      <c r="D63" s="156"/>
      <c r="E63" s="156"/>
      <c r="F63" s="156"/>
      <c r="G63" s="156"/>
      <c r="H63" s="313">
        <f t="shared" si="20"/>
        <v>15895695.34</v>
      </c>
      <c r="I63" s="313">
        <v>15895695.34</v>
      </c>
      <c r="J63" s="313"/>
      <c r="K63" s="313"/>
      <c r="L63" s="43"/>
      <c r="M63" s="43"/>
      <c r="N63" s="43"/>
    </row>
    <row r="64" spans="1:14" ht="83.25" customHeight="1" x14ac:dyDescent="0.2">
      <c r="A64" s="169" t="s">
        <v>402</v>
      </c>
      <c r="B64" s="30" t="s">
        <v>45</v>
      </c>
      <c r="C64" s="71" t="s">
        <v>70</v>
      </c>
      <c r="D64" s="71" t="s">
        <v>28</v>
      </c>
      <c r="E64" s="177">
        <v>252242850</v>
      </c>
      <c r="F64" s="177">
        <v>2921441.77</v>
      </c>
      <c r="G64" s="177">
        <f>E64-F64</f>
        <v>249321408.22999999</v>
      </c>
      <c r="H64" s="24">
        <f t="shared" si="20"/>
        <v>1609577.58</v>
      </c>
      <c r="I64" s="35">
        <f>SUM(I65)</f>
        <v>1609577.58</v>
      </c>
      <c r="J64" s="35">
        <f t="shared" ref="J64:K64" si="22">SUM(J65)</f>
        <v>0</v>
      </c>
      <c r="K64" s="35">
        <f t="shared" si="22"/>
        <v>0</v>
      </c>
      <c r="L64" s="43"/>
      <c r="M64" s="43"/>
      <c r="N64" s="43"/>
    </row>
    <row r="65" spans="1:14" ht="25.5" x14ac:dyDescent="0.2">
      <c r="A65" s="142" t="s">
        <v>344</v>
      </c>
      <c r="B65" s="148" t="s">
        <v>370</v>
      </c>
      <c r="C65" s="122"/>
      <c r="D65" s="122"/>
      <c r="E65" s="147"/>
      <c r="F65" s="147"/>
      <c r="G65" s="147"/>
      <c r="H65" s="23">
        <f t="shared" si="20"/>
        <v>1609577.58</v>
      </c>
      <c r="I65" s="24">
        <v>1609577.58</v>
      </c>
      <c r="J65" s="24"/>
      <c r="K65" s="24"/>
      <c r="L65" s="43" t="s">
        <v>371</v>
      </c>
      <c r="M65" s="43"/>
      <c r="N65" s="43"/>
    </row>
    <row r="66" spans="1:14" ht="38.25" x14ac:dyDescent="0.2">
      <c r="A66" s="142" t="s">
        <v>86</v>
      </c>
      <c r="B66" s="5"/>
      <c r="C66" s="118"/>
      <c r="D66" s="223"/>
      <c r="E66" s="278"/>
      <c r="F66" s="278"/>
      <c r="G66" s="278"/>
      <c r="H66" s="333">
        <f>I66+J66+K66</f>
        <v>3032729.15</v>
      </c>
      <c r="I66" s="333">
        <v>3032729.15</v>
      </c>
      <c r="J66" s="23"/>
      <c r="K66" s="23"/>
      <c r="L66" s="43"/>
      <c r="M66" s="43"/>
      <c r="N66" s="43"/>
    </row>
    <row r="67" spans="1:14" ht="39" thickBot="1" x14ac:dyDescent="0.25">
      <c r="A67" s="144" t="s">
        <v>211</v>
      </c>
      <c r="B67" s="309"/>
      <c r="C67" s="310"/>
      <c r="D67" s="163"/>
      <c r="E67" s="279"/>
      <c r="F67" s="279"/>
      <c r="G67" s="279"/>
      <c r="H67" s="311">
        <f>SUM(I67:K67)</f>
        <v>14040447.550000001</v>
      </c>
      <c r="I67" s="311">
        <v>14040447.550000001</v>
      </c>
      <c r="J67" s="179"/>
      <c r="K67" s="179"/>
      <c r="L67" s="43"/>
      <c r="M67" s="43"/>
      <c r="N67" s="43"/>
    </row>
    <row r="68" spans="1:14" ht="53.25" customHeight="1" x14ac:dyDescent="0.2">
      <c r="A68" s="169" t="s">
        <v>401</v>
      </c>
      <c r="B68" s="30" t="s">
        <v>59</v>
      </c>
      <c r="C68" s="71" t="s">
        <v>71</v>
      </c>
      <c r="D68" s="71" t="s">
        <v>28</v>
      </c>
      <c r="E68" s="177">
        <v>269584450</v>
      </c>
      <c r="F68" s="177">
        <v>5787486.8200000003</v>
      </c>
      <c r="G68" s="177">
        <f>E68-F68</f>
        <v>263796963.18000001</v>
      </c>
      <c r="H68" s="35">
        <f>I68+J68+K68</f>
        <v>2549534.5</v>
      </c>
      <c r="I68" s="35">
        <f>SUM(I69)</f>
        <v>2549534.5</v>
      </c>
      <c r="J68" s="35">
        <v>0</v>
      </c>
      <c r="K68" s="35">
        <v>0</v>
      </c>
      <c r="L68" s="43"/>
      <c r="M68" s="43"/>
      <c r="N68" s="43"/>
    </row>
    <row r="69" spans="1:14" ht="25.5" x14ac:dyDescent="0.2">
      <c r="A69" s="142" t="s">
        <v>344</v>
      </c>
      <c r="B69" s="148" t="s">
        <v>373</v>
      </c>
      <c r="C69" s="93"/>
      <c r="D69" s="93"/>
      <c r="E69" s="194"/>
      <c r="F69" s="194"/>
      <c r="G69" s="194"/>
      <c r="H69" s="23">
        <f t="shared" ref="H69" si="23">I69+J69+K69</f>
        <v>2549534.5</v>
      </c>
      <c r="I69" s="23">
        <v>2549534.5</v>
      </c>
      <c r="J69" s="23"/>
      <c r="K69" s="23"/>
      <c r="L69" s="43" t="s">
        <v>374</v>
      </c>
      <c r="M69" s="43"/>
      <c r="N69" s="43"/>
    </row>
    <row r="70" spans="1:14" ht="39" thickBot="1" x14ac:dyDescent="0.25">
      <c r="A70" s="170" t="s">
        <v>86</v>
      </c>
      <c r="B70" s="309"/>
      <c r="C70" s="310"/>
      <c r="D70" s="163"/>
      <c r="E70" s="279"/>
      <c r="F70" s="279"/>
      <c r="G70" s="279"/>
      <c r="H70" s="334">
        <f>SUM(I70:K70)</f>
        <v>1704913.18</v>
      </c>
      <c r="I70" s="334">
        <v>1704913.18</v>
      </c>
      <c r="J70" s="179"/>
      <c r="K70" s="179"/>
      <c r="L70" s="43"/>
      <c r="M70" s="43"/>
      <c r="N70" s="43"/>
    </row>
    <row r="71" spans="1:14" ht="30.75" customHeight="1" x14ac:dyDescent="0.2">
      <c r="A71" s="169" t="s">
        <v>400</v>
      </c>
      <c r="B71" s="30" t="s">
        <v>45</v>
      </c>
      <c r="C71" s="71" t="s">
        <v>72</v>
      </c>
      <c r="D71" s="71" t="s">
        <v>28</v>
      </c>
      <c r="E71" s="177">
        <v>88472700</v>
      </c>
      <c r="F71" s="177">
        <v>1724314.68</v>
      </c>
      <c r="G71" s="177">
        <f>E71-F71</f>
        <v>86748385.319999993</v>
      </c>
      <c r="H71" s="35">
        <f>I71+J71+K71</f>
        <v>601413.87999999989</v>
      </c>
      <c r="I71" s="35">
        <f>SUM(I72)</f>
        <v>601413.87999999989</v>
      </c>
      <c r="J71" s="35">
        <v>0</v>
      </c>
      <c r="K71" s="35">
        <v>0</v>
      </c>
      <c r="L71" s="43"/>
      <c r="M71" s="43"/>
      <c r="N71" s="43"/>
    </row>
    <row r="72" spans="1:14" ht="30.75" customHeight="1" x14ac:dyDescent="0.2">
      <c r="A72" s="142" t="s">
        <v>344</v>
      </c>
      <c r="B72" s="148" t="s">
        <v>345</v>
      </c>
      <c r="C72" s="122"/>
      <c r="D72" s="331"/>
      <c r="E72" s="147"/>
      <c r="F72" s="147"/>
      <c r="G72" s="147"/>
      <c r="H72" s="23">
        <f t="shared" ref="H72" si="24">I72+J72+K72</f>
        <v>601413.87999999989</v>
      </c>
      <c r="I72" s="24">
        <f>73839.93+527573.95</f>
        <v>601413.87999999989</v>
      </c>
      <c r="J72" s="24"/>
      <c r="K72" s="24"/>
      <c r="L72" s="43" t="s">
        <v>376</v>
      </c>
      <c r="M72" s="43"/>
      <c r="N72" s="43"/>
    </row>
    <row r="73" spans="1:14" ht="38.25" x14ac:dyDescent="0.2">
      <c r="A73" s="143" t="s">
        <v>86</v>
      </c>
      <c r="B73" s="352"/>
      <c r="C73" s="118"/>
      <c r="D73" s="223"/>
      <c r="E73" s="223"/>
      <c r="F73" s="223"/>
      <c r="G73" s="223"/>
      <c r="H73" s="353">
        <f>SUM(I73:K73)</f>
        <v>890188.44</v>
      </c>
      <c r="I73" s="333">
        <v>890188.44</v>
      </c>
      <c r="J73" s="23"/>
      <c r="K73" s="23"/>
      <c r="L73" s="43"/>
      <c r="M73" s="43"/>
      <c r="N73" s="43"/>
    </row>
    <row r="74" spans="1:14" ht="39" thickBot="1" x14ac:dyDescent="0.25">
      <c r="A74" s="144" t="s">
        <v>211</v>
      </c>
      <c r="B74" s="309"/>
      <c r="C74" s="310"/>
      <c r="D74" s="163"/>
      <c r="E74" s="279"/>
      <c r="F74" s="279"/>
      <c r="G74" s="279"/>
      <c r="H74" s="311">
        <f>SUM(I74:K74)</f>
        <v>4295959.26</v>
      </c>
      <c r="I74" s="311">
        <v>4295959.26</v>
      </c>
      <c r="J74" s="179"/>
      <c r="K74" s="179"/>
      <c r="L74" s="43"/>
      <c r="M74" s="43"/>
      <c r="N74" s="43"/>
    </row>
    <row r="75" spans="1:14" ht="76.5" x14ac:dyDescent="0.2">
      <c r="A75" s="169" t="s">
        <v>350</v>
      </c>
      <c r="B75" s="174" t="s">
        <v>59</v>
      </c>
      <c r="C75" s="192" t="s">
        <v>361</v>
      </c>
      <c r="D75" s="192" t="s">
        <v>28</v>
      </c>
      <c r="E75" s="177">
        <v>80230429.609999999</v>
      </c>
      <c r="F75" s="177">
        <v>39948567.630000003</v>
      </c>
      <c r="G75" s="177">
        <f>E75-F75</f>
        <v>40281861.979999997</v>
      </c>
      <c r="H75" s="35">
        <f>I75+J75+K75</f>
        <v>40281861.980000004</v>
      </c>
      <c r="I75" s="35">
        <f>SUM(I76:I77)</f>
        <v>40281861.980000004</v>
      </c>
      <c r="J75" s="35">
        <f t="shared" ref="J75:K75" si="25">SUM(J76:J77)</f>
        <v>0</v>
      </c>
      <c r="K75" s="35">
        <f t="shared" si="25"/>
        <v>0</v>
      </c>
      <c r="L75" s="354"/>
      <c r="M75" s="43"/>
      <c r="N75" s="43"/>
    </row>
    <row r="76" spans="1:14" ht="30.75" customHeight="1" x14ac:dyDescent="0.2">
      <c r="A76" s="142" t="s">
        <v>377</v>
      </c>
      <c r="B76" s="148" t="s">
        <v>378</v>
      </c>
      <c r="C76" s="367"/>
      <c r="D76" s="367"/>
      <c r="E76" s="194"/>
      <c r="F76" s="194" t="s">
        <v>29</v>
      </c>
      <c r="G76" s="194"/>
      <c r="H76" s="23">
        <f t="shared" ref="H76:H77" si="26">I76+J76+K76</f>
        <v>2014093.1</v>
      </c>
      <c r="I76" s="23">
        <v>2014093.1</v>
      </c>
      <c r="J76" s="23"/>
      <c r="K76" s="23"/>
      <c r="L76" s="354" t="s">
        <v>380</v>
      </c>
      <c r="M76" s="43"/>
      <c r="N76" s="43"/>
    </row>
    <row r="77" spans="1:14" ht="26.25" thickBot="1" x14ac:dyDescent="0.25">
      <c r="A77" s="170" t="s">
        <v>355</v>
      </c>
      <c r="B77" s="235" t="s">
        <v>351</v>
      </c>
      <c r="C77" s="310"/>
      <c r="D77" s="163"/>
      <c r="E77" s="279"/>
      <c r="F77" s="279"/>
      <c r="G77" s="279"/>
      <c r="H77" s="179">
        <f t="shared" si="26"/>
        <v>38267768.880000003</v>
      </c>
      <c r="I77" s="179">
        <v>38267768.880000003</v>
      </c>
      <c r="J77" s="179"/>
      <c r="K77" s="179"/>
      <c r="L77" s="355" t="s">
        <v>352</v>
      </c>
      <c r="M77" s="43"/>
      <c r="N77" s="43"/>
    </row>
    <row r="78" spans="1:14" ht="26.25" thickBot="1" x14ac:dyDescent="0.25">
      <c r="A78" s="317" t="s">
        <v>54</v>
      </c>
      <c r="B78" s="318"/>
      <c r="C78" s="318"/>
      <c r="D78" s="318"/>
      <c r="E78" s="318"/>
      <c r="F78" s="318"/>
      <c r="G78" s="318"/>
      <c r="H78" s="319">
        <f>I78+J78+K78</f>
        <v>47244772.400000006</v>
      </c>
      <c r="I78" s="319">
        <f>SUM(I79:I84)</f>
        <v>47244772.400000006</v>
      </c>
      <c r="J78" s="319">
        <f t="shared" ref="J78:K78" si="27">SUM(J79:J84)</f>
        <v>0</v>
      </c>
      <c r="K78" s="319">
        <f t="shared" si="27"/>
        <v>0</v>
      </c>
      <c r="L78" s="64">
        <f>H58</f>
        <v>47244772.400000006</v>
      </c>
      <c r="M78" s="121"/>
      <c r="N78" s="84">
        <f>H78-L78</f>
        <v>0</v>
      </c>
    </row>
    <row r="79" spans="1:14" ht="25.5" x14ac:dyDescent="0.2">
      <c r="A79" s="143" t="s">
        <v>344</v>
      </c>
      <c r="B79" s="206" t="s">
        <v>372</v>
      </c>
      <c r="C79" s="169"/>
      <c r="D79" s="169"/>
      <c r="E79" s="169"/>
      <c r="F79" s="169"/>
      <c r="G79" s="169"/>
      <c r="H79" s="24">
        <f t="shared" ref="H79:H84" si="28">I79+J79+K79</f>
        <v>1609577.58</v>
      </c>
      <c r="I79" s="177">
        <f>I65</f>
        <v>1609577.58</v>
      </c>
      <c r="J79" s="177">
        <f t="shared" ref="J79:K79" si="29">J65</f>
        <v>0</v>
      </c>
      <c r="K79" s="177">
        <f t="shared" si="29"/>
        <v>0</v>
      </c>
      <c r="L79" s="64"/>
      <c r="M79" s="121"/>
      <c r="N79" s="84"/>
    </row>
    <row r="80" spans="1:14" ht="25.5" x14ac:dyDescent="0.2">
      <c r="A80" s="143" t="s">
        <v>344</v>
      </c>
      <c r="B80" s="206" t="s">
        <v>375</v>
      </c>
      <c r="C80" s="211"/>
      <c r="D80" s="211"/>
      <c r="E80" s="211"/>
      <c r="F80" s="211"/>
      <c r="G80" s="211"/>
      <c r="H80" s="24">
        <f t="shared" si="28"/>
        <v>2549534.5</v>
      </c>
      <c r="I80" s="147">
        <f>I69</f>
        <v>2549534.5</v>
      </c>
      <c r="J80" s="147">
        <f t="shared" ref="J80:K80" si="30">J69</f>
        <v>0</v>
      </c>
      <c r="K80" s="147">
        <f t="shared" si="30"/>
        <v>0</v>
      </c>
      <c r="L80" s="64"/>
      <c r="M80" s="121"/>
      <c r="N80" s="84"/>
    </row>
    <row r="81" spans="1:14" ht="25.5" x14ac:dyDescent="0.2">
      <c r="A81" s="143" t="s">
        <v>344</v>
      </c>
      <c r="B81" s="206" t="s">
        <v>346</v>
      </c>
      <c r="C81" s="211"/>
      <c r="D81" s="211"/>
      <c r="E81" s="211"/>
      <c r="F81" s="211"/>
      <c r="G81" s="211"/>
      <c r="H81" s="24">
        <f t="shared" si="28"/>
        <v>601413.87999999989</v>
      </c>
      <c r="I81" s="147">
        <f>I72</f>
        <v>601413.87999999989</v>
      </c>
      <c r="J81" s="147">
        <f t="shared" ref="J81:K81" si="31">J72</f>
        <v>0</v>
      </c>
      <c r="K81" s="147">
        <f t="shared" si="31"/>
        <v>0</v>
      </c>
      <c r="L81" s="64"/>
      <c r="M81" s="121"/>
      <c r="N81" s="84"/>
    </row>
    <row r="82" spans="1:14" ht="25.5" x14ac:dyDescent="0.2">
      <c r="A82" s="142" t="s">
        <v>344</v>
      </c>
      <c r="B82" s="148" t="s">
        <v>348</v>
      </c>
      <c r="C82" s="186"/>
      <c r="D82" s="186"/>
      <c r="E82" s="186"/>
      <c r="F82" s="186"/>
      <c r="G82" s="186"/>
      <c r="H82" s="23">
        <f t="shared" si="28"/>
        <v>2202384.46</v>
      </c>
      <c r="I82" s="194">
        <f>I61</f>
        <v>2202384.46</v>
      </c>
      <c r="J82" s="194">
        <f t="shared" ref="J82:K82" si="32">J61</f>
        <v>0</v>
      </c>
      <c r="K82" s="194">
        <f t="shared" si="32"/>
        <v>0</v>
      </c>
      <c r="L82" s="64"/>
      <c r="M82" s="121"/>
      <c r="N82" s="84"/>
    </row>
    <row r="83" spans="1:14" ht="25.5" x14ac:dyDescent="0.2">
      <c r="A83" s="142" t="s">
        <v>377</v>
      </c>
      <c r="B83" s="148" t="s">
        <v>379</v>
      </c>
      <c r="C83" s="368"/>
      <c r="D83" s="368"/>
      <c r="E83" s="368"/>
      <c r="F83" s="368"/>
      <c r="G83" s="368"/>
      <c r="H83" s="23">
        <f t="shared" si="28"/>
        <v>2014093.1</v>
      </c>
      <c r="I83" s="228">
        <f>I76</f>
        <v>2014093.1</v>
      </c>
      <c r="J83" s="228">
        <f t="shared" ref="J83:K83" si="33">J76</f>
        <v>0</v>
      </c>
      <c r="K83" s="228">
        <f t="shared" si="33"/>
        <v>0</v>
      </c>
      <c r="L83" s="64"/>
      <c r="M83" s="121"/>
      <c r="N83" s="84"/>
    </row>
    <row r="84" spans="1:14" ht="26.25" thickBot="1" x14ac:dyDescent="0.25">
      <c r="A84" s="142" t="s">
        <v>354</v>
      </c>
      <c r="B84" s="209" t="s">
        <v>353</v>
      </c>
      <c r="C84" s="356"/>
      <c r="D84" s="356"/>
      <c r="E84" s="356"/>
      <c r="F84" s="356"/>
      <c r="G84" s="356"/>
      <c r="H84" s="25">
        <f t="shared" si="28"/>
        <v>38267768.880000003</v>
      </c>
      <c r="I84" s="178">
        <f>I77</f>
        <v>38267768.880000003</v>
      </c>
      <c r="J84" s="178">
        <f t="shared" ref="J84:K84" si="34">J77</f>
        <v>0</v>
      </c>
      <c r="K84" s="178">
        <f t="shared" si="34"/>
        <v>0</v>
      </c>
      <c r="L84" s="64"/>
      <c r="M84" s="121"/>
      <c r="N84" s="84"/>
    </row>
    <row r="85" spans="1:14" ht="27" customHeight="1" thickBot="1" x14ac:dyDescent="0.25">
      <c r="A85" s="399" t="s">
        <v>126</v>
      </c>
      <c r="B85" s="399"/>
      <c r="C85" s="399"/>
      <c r="D85" s="399"/>
      <c r="E85" s="399"/>
      <c r="F85" s="399"/>
      <c r="G85" s="399"/>
      <c r="H85" s="399"/>
      <c r="I85" s="399"/>
      <c r="J85" s="399"/>
      <c r="K85" s="399"/>
      <c r="L85" s="64"/>
      <c r="M85" s="121"/>
      <c r="N85" s="84"/>
    </row>
    <row r="86" spans="1:14" ht="39" thickBot="1" x14ac:dyDescent="0.25">
      <c r="A86" s="10" t="s">
        <v>31</v>
      </c>
      <c r="B86" s="27"/>
      <c r="C86" s="27"/>
      <c r="D86" s="27"/>
      <c r="E86" s="27"/>
      <c r="F86" s="27"/>
      <c r="G86" s="27"/>
      <c r="H86" s="314">
        <f>I86+J86+K86</f>
        <v>335732476.13999999</v>
      </c>
      <c r="I86" s="314">
        <f>I87+I90+I93+I98</f>
        <v>335732476.13999999</v>
      </c>
      <c r="J86" s="314">
        <f t="shared" ref="J86:K86" si="35">J87+J90+J93+J98</f>
        <v>0</v>
      </c>
      <c r="K86" s="314">
        <f t="shared" si="35"/>
        <v>0</v>
      </c>
      <c r="L86" s="64"/>
      <c r="M86" s="121"/>
      <c r="N86" s="84"/>
    </row>
    <row r="87" spans="1:14" ht="68.25" thickBot="1" x14ac:dyDescent="0.25">
      <c r="A87" s="46" t="s">
        <v>20</v>
      </c>
      <c r="B87" s="224"/>
      <c r="C87" s="315"/>
      <c r="D87" s="316"/>
      <c r="E87" s="299"/>
      <c r="F87" s="299"/>
      <c r="G87" s="299"/>
      <c r="H87" s="180">
        <f>I87+J87+K87</f>
        <v>0</v>
      </c>
      <c r="I87" s="180">
        <f>SUM(I88)</f>
        <v>0</v>
      </c>
      <c r="J87" s="180">
        <f>SUM(J88)</f>
        <v>0</v>
      </c>
      <c r="K87" s="180">
        <f>SUM(K88)</f>
        <v>0</v>
      </c>
      <c r="L87" s="64"/>
      <c r="M87" s="121"/>
      <c r="N87" s="84"/>
    </row>
    <row r="88" spans="1:14" ht="41.25" customHeight="1" x14ac:dyDescent="0.2">
      <c r="A88" s="76" t="s">
        <v>124</v>
      </c>
      <c r="B88" s="80" t="s">
        <v>59</v>
      </c>
      <c r="C88" s="71" t="s">
        <v>125</v>
      </c>
      <c r="D88" s="71" t="s">
        <v>254</v>
      </c>
      <c r="E88" s="88">
        <v>1231857390</v>
      </c>
      <c r="F88" s="177">
        <v>17910000</v>
      </c>
      <c r="G88" s="88">
        <f>E88-F88</f>
        <v>1213947390</v>
      </c>
      <c r="H88" s="35">
        <f>I88+J88+K88</f>
        <v>0</v>
      </c>
      <c r="I88" s="35">
        <v>0</v>
      </c>
      <c r="J88" s="35">
        <v>0</v>
      </c>
      <c r="K88" s="35">
        <v>0</v>
      </c>
      <c r="L88" s="64"/>
      <c r="M88" s="121"/>
      <c r="N88" s="84"/>
    </row>
    <row r="89" spans="1:14" ht="39" thickBot="1" x14ac:dyDescent="0.25">
      <c r="A89" s="144" t="s">
        <v>86</v>
      </c>
      <c r="B89" s="6"/>
      <c r="C89" s="119"/>
      <c r="D89" s="119"/>
      <c r="E89" s="119"/>
      <c r="F89" s="119"/>
      <c r="G89" s="119"/>
      <c r="H89" s="313">
        <f>SUM(I89:K89)</f>
        <v>1904180</v>
      </c>
      <c r="I89" s="313">
        <v>1904180</v>
      </c>
      <c r="J89" s="25"/>
      <c r="K89" s="25"/>
      <c r="L89" s="64"/>
      <c r="M89" s="121"/>
      <c r="N89" s="84"/>
    </row>
    <row r="90" spans="1:14" ht="58.5" customHeight="1" thickBot="1" x14ac:dyDescent="0.25">
      <c r="A90" s="46" t="s">
        <v>159</v>
      </c>
      <c r="B90" s="224"/>
      <c r="C90" s="225"/>
      <c r="D90" s="226"/>
      <c r="E90" s="227"/>
      <c r="F90" s="227"/>
      <c r="G90" s="227"/>
      <c r="H90" s="180">
        <f t="shared" ref="H90:H137" si="36">I90+J90+K90</f>
        <v>255000000</v>
      </c>
      <c r="I90" s="180">
        <f>I91</f>
        <v>255000000</v>
      </c>
      <c r="J90" s="180">
        <f>J91</f>
        <v>0</v>
      </c>
      <c r="K90" s="180">
        <f>K91</f>
        <v>0</v>
      </c>
      <c r="L90" s="231"/>
      <c r="M90" s="232"/>
      <c r="N90" s="84"/>
    </row>
    <row r="91" spans="1:14" ht="31.5" customHeight="1" x14ac:dyDescent="0.2">
      <c r="A91" s="211" t="s">
        <v>399</v>
      </c>
      <c r="B91" s="212" t="s">
        <v>45</v>
      </c>
      <c r="C91" s="242" t="s">
        <v>163</v>
      </c>
      <c r="D91" s="239" t="s">
        <v>28</v>
      </c>
      <c r="E91" s="23">
        <v>255250000</v>
      </c>
      <c r="F91" s="23"/>
      <c r="G91" s="23">
        <f>E91-F91</f>
        <v>255250000</v>
      </c>
      <c r="H91" s="23">
        <f t="shared" si="36"/>
        <v>255000000</v>
      </c>
      <c r="I91" s="24">
        <f>SUM(I92:I92)</f>
        <v>255000000</v>
      </c>
      <c r="J91" s="24">
        <f>SUM(J92:J92)</f>
        <v>0</v>
      </c>
      <c r="K91" s="24">
        <f>SUM(K92:K92)</f>
        <v>0</v>
      </c>
      <c r="L91" s="231"/>
      <c r="M91" s="232"/>
      <c r="N91" s="84"/>
    </row>
    <row r="92" spans="1:14" ht="30" customHeight="1" thickBot="1" x14ac:dyDescent="0.25">
      <c r="A92" s="144" t="s">
        <v>261</v>
      </c>
      <c r="B92" s="209" t="s">
        <v>262</v>
      </c>
      <c r="C92" s="336"/>
      <c r="D92" s="337"/>
      <c r="E92" s="338"/>
      <c r="F92" s="338"/>
      <c r="G92" s="338"/>
      <c r="H92" s="25">
        <f t="shared" si="36"/>
        <v>255000000</v>
      </c>
      <c r="I92" s="25">
        <v>255000000</v>
      </c>
      <c r="J92" s="25"/>
      <c r="K92" s="25"/>
      <c r="L92" s="231"/>
      <c r="M92" s="232"/>
      <c r="N92" s="84"/>
    </row>
    <row r="93" spans="1:14" ht="47.25" customHeight="1" thickBot="1" x14ac:dyDescent="0.25">
      <c r="A93" s="46" t="s">
        <v>19</v>
      </c>
      <c r="B93" s="235"/>
      <c r="C93" s="357"/>
      <c r="D93" s="358"/>
      <c r="E93" s="359"/>
      <c r="F93" s="359"/>
      <c r="G93" s="359"/>
      <c r="H93" s="180">
        <f>I93+J93+K93</f>
        <v>6625567.8600000003</v>
      </c>
      <c r="I93" s="360">
        <f>I94+I96</f>
        <v>6625567.8600000003</v>
      </c>
      <c r="J93" s="360">
        <f t="shared" ref="J93:K93" si="37">J94+J96</f>
        <v>0</v>
      </c>
      <c r="K93" s="360">
        <f t="shared" si="37"/>
        <v>0</v>
      </c>
      <c r="L93" s="231"/>
      <c r="M93" s="232"/>
      <c r="N93" s="84"/>
    </row>
    <row r="94" spans="1:14" ht="57" customHeight="1" x14ac:dyDescent="0.2">
      <c r="A94" s="169" t="s">
        <v>358</v>
      </c>
      <c r="B94" s="174" t="s">
        <v>49</v>
      </c>
      <c r="C94" s="192" t="s">
        <v>359</v>
      </c>
      <c r="D94" s="198" t="s">
        <v>28</v>
      </c>
      <c r="E94" s="177" t="s">
        <v>368</v>
      </c>
      <c r="F94" s="181">
        <v>0</v>
      </c>
      <c r="G94" s="177" t="s">
        <v>368</v>
      </c>
      <c r="H94" s="181">
        <f>I94+J94+K94</f>
        <v>5000000</v>
      </c>
      <c r="I94" s="181">
        <f>SUM(I95)</f>
        <v>5000000</v>
      </c>
      <c r="J94" s="181">
        <f>SUM(J95)</f>
        <v>0</v>
      </c>
      <c r="K94" s="181">
        <f>SUM(K95)</f>
        <v>0</v>
      </c>
      <c r="L94" s="231"/>
      <c r="M94" s="232"/>
      <c r="N94" s="84"/>
    </row>
    <row r="95" spans="1:14" ht="30" customHeight="1" thickBot="1" x14ac:dyDescent="0.25">
      <c r="A95" s="144" t="s">
        <v>24</v>
      </c>
      <c r="B95" s="209" t="s">
        <v>110</v>
      </c>
      <c r="C95" s="199"/>
      <c r="D95" s="200"/>
      <c r="E95" s="201"/>
      <c r="F95" s="196"/>
      <c r="G95" s="201"/>
      <c r="H95" s="176">
        <f>I95+J95+K95</f>
        <v>5000000</v>
      </c>
      <c r="I95" s="176">
        <v>5000000</v>
      </c>
      <c r="J95" s="176"/>
      <c r="K95" s="176"/>
      <c r="L95" s="231" t="s">
        <v>360</v>
      </c>
      <c r="M95" s="232"/>
      <c r="N95" s="84"/>
    </row>
    <row r="96" spans="1:14" ht="51" x14ac:dyDescent="0.2">
      <c r="A96" s="169" t="s">
        <v>365</v>
      </c>
      <c r="B96" s="174" t="s">
        <v>49</v>
      </c>
      <c r="C96" s="192" t="s">
        <v>366</v>
      </c>
      <c r="D96" s="365" t="s">
        <v>25</v>
      </c>
      <c r="E96" s="177" t="s">
        <v>367</v>
      </c>
      <c r="F96" s="181">
        <v>390000</v>
      </c>
      <c r="G96" s="177" t="s">
        <v>412</v>
      </c>
      <c r="H96" s="181">
        <f>I96+J96+K96</f>
        <v>1625567.86</v>
      </c>
      <c r="I96" s="181">
        <f>SUM(I97)</f>
        <v>1625567.86</v>
      </c>
      <c r="J96" s="181">
        <f>SUM(J97)</f>
        <v>0</v>
      </c>
      <c r="K96" s="181">
        <f>SUM(K97)</f>
        <v>0</v>
      </c>
      <c r="L96" s="231"/>
      <c r="M96" s="232"/>
      <c r="N96" s="84"/>
    </row>
    <row r="97" spans="1:14" ht="30" customHeight="1" thickBot="1" x14ac:dyDescent="0.25">
      <c r="A97" s="144" t="s">
        <v>24</v>
      </c>
      <c r="B97" s="209" t="s">
        <v>110</v>
      </c>
      <c r="C97" s="221"/>
      <c r="D97" s="366"/>
      <c r="E97" s="178"/>
      <c r="F97" s="176"/>
      <c r="G97" s="178"/>
      <c r="H97" s="176">
        <f>I97+J97+K97</f>
        <v>1625567.86</v>
      </c>
      <c r="I97" s="176">
        <v>1625567.86</v>
      </c>
      <c r="J97" s="176"/>
      <c r="K97" s="176"/>
      <c r="L97" s="231" t="s">
        <v>369</v>
      </c>
      <c r="M97" s="232"/>
      <c r="N97" s="84"/>
    </row>
    <row r="98" spans="1:14" ht="30" customHeight="1" thickBot="1" x14ac:dyDescent="0.25">
      <c r="A98" s="46" t="s">
        <v>382</v>
      </c>
      <c r="B98" s="224"/>
      <c r="C98" s="225"/>
      <c r="D98" s="226"/>
      <c r="E98" s="227"/>
      <c r="F98" s="227"/>
      <c r="G98" s="227"/>
      <c r="H98" s="180">
        <f t="shared" ref="H98:H102" si="38">I98+J98+K98</f>
        <v>74106908.280000001</v>
      </c>
      <c r="I98" s="180">
        <f>I99+I103</f>
        <v>74106908.280000001</v>
      </c>
      <c r="J98" s="180">
        <f t="shared" ref="J98:K98" si="39">J99+J105</f>
        <v>0</v>
      </c>
      <c r="K98" s="180">
        <f t="shared" si="39"/>
        <v>0</v>
      </c>
      <c r="L98" s="231"/>
      <c r="M98" s="232"/>
      <c r="N98" s="84"/>
    </row>
    <row r="99" spans="1:14" ht="51" x14ac:dyDescent="0.2">
      <c r="A99" s="211" t="s">
        <v>383</v>
      </c>
      <c r="B99" s="352" t="s">
        <v>53</v>
      </c>
      <c r="C99" s="322" t="s">
        <v>384</v>
      </c>
      <c r="D99" s="369" t="s">
        <v>28</v>
      </c>
      <c r="E99" s="147">
        <f>H99</f>
        <v>61480088.280000001</v>
      </c>
      <c r="F99" s="177">
        <v>0</v>
      </c>
      <c r="G99" s="147">
        <f>E99-F99</f>
        <v>61480088.280000001</v>
      </c>
      <c r="H99" s="24">
        <f t="shared" si="38"/>
        <v>61480088.280000001</v>
      </c>
      <c r="I99" s="24">
        <f>SUM(I100:I102)</f>
        <v>61480088.280000001</v>
      </c>
      <c r="J99" s="24">
        <f>SUM(J100:J102)</f>
        <v>0</v>
      </c>
      <c r="K99" s="24">
        <f>SUM(K100:K102)</f>
        <v>0</v>
      </c>
      <c r="L99" s="231"/>
      <c r="M99" s="232"/>
      <c r="N99" s="84"/>
    </row>
    <row r="100" spans="1:14" ht="30" customHeight="1" x14ac:dyDescent="0.2">
      <c r="A100" s="142" t="s">
        <v>385</v>
      </c>
      <c r="B100" s="148" t="s">
        <v>386</v>
      </c>
      <c r="C100" s="186"/>
      <c r="D100" s="375"/>
      <c r="E100" s="142"/>
      <c r="F100" s="142"/>
      <c r="G100" s="142"/>
      <c r="H100" s="23">
        <f t="shared" si="38"/>
        <v>1993404.82</v>
      </c>
      <c r="I100" s="89">
        <f>1870854.79+122550.03</f>
        <v>1993404.82</v>
      </c>
      <c r="J100" s="23"/>
      <c r="K100" s="23"/>
      <c r="L100" s="231" t="s">
        <v>395</v>
      </c>
      <c r="M100" s="232"/>
      <c r="N100" s="84"/>
    </row>
    <row r="101" spans="1:14" ht="30" customHeight="1" x14ac:dyDescent="0.2">
      <c r="A101" s="142" t="s">
        <v>387</v>
      </c>
      <c r="B101" s="148" t="s">
        <v>388</v>
      </c>
      <c r="C101" s="376"/>
      <c r="D101" s="377"/>
      <c r="E101" s="142"/>
      <c r="F101" s="142"/>
      <c r="G101" s="142"/>
      <c r="H101" s="23">
        <f t="shared" si="38"/>
        <v>24549402.059999999</v>
      </c>
      <c r="I101" s="23">
        <f>21400454.88+3148947.18</f>
        <v>24549402.059999999</v>
      </c>
      <c r="J101" s="23"/>
      <c r="K101" s="23"/>
      <c r="L101" s="231" t="s">
        <v>411</v>
      </c>
      <c r="M101" s="232"/>
      <c r="N101" s="84"/>
    </row>
    <row r="102" spans="1:14" ht="39" thickBot="1" x14ac:dyDescent="0.25">
      <c r="A102" s="144" t="s">
        <v>396</v>
      </c>
      <c r="B102" s="209" t="s">
        <v>389</v>
      </c>
      <c r="C102" s="378"/>
      <c r="D102" s="379"/>
      <c r="E102" s="144"/>
      <c r="F102" s="144"/>
      <c r="G102" s="144"/>
      <c r="H102" s="25">
        <f t="shared" si="38"/>
        <v>34937281.399999999</v>
      </c>
      <c r="I102" s="25">
        <f>25953775.14+8983506.26</f>
        <v>34937281.399999999</v>
      </c>
      <c r="J102" s="179"/>
      <c r="K102" s="179"/>
      <c r="L102" s="231" t="s">
        <v>410</v>
      </c>
      <c r="M102" s="232"/>
      <c r="N102" s="84"/>
    </row>
    <row r="103" spans="1:14" ht="51" x14ac:dyDescent="0.2">
      <c r="A103" s="169" t="s">
        <v>390</v>
      </c>
      <c r="B103" s="80" t="s">
        <v>53</v>
      </c>
      <c r="C103" s="322" t="s">
        <v>391</v>
      </c>
      <c r="D103" s="369" t="s">
        <v>50</v>
      </c>
      <c r="E103" s="147">
        <f>H103</f>
        <v>12626820</v>
      </c>
      <c r="F103" s="177">
        <v>0</v>
      </c>
      <c r="G103" s="147">
        <f>E103-F103</f>
        <v>12626820</v>
      </c>
      <c r="H103" s="35">
        <f>I103+J103+K103</f>
        <v>12626820</v>
      </c>
      <c r="I103" s="35">
        <f>SUM(I104)</f>
        <v>12626820</v>
      </c>
      <c r="J103" s="35">
        <f t="shared" ref="J103:K103" si="40">SUM(J104)</f>
        <v>0</v>
      </c>
      <c r="K103" s="35">
        <f t="shared" si="40"/>
        <v>0</v>
      </c>
      <c r="L103" s="231"/>
      <c r="M103" s="232"/>
      <c r="N103" s="84"/>
    </row>
    <row r="104" spans="1:14" ht="30" customHeight="1" thickBot="1" x14ac:dyDescent="0.25">
      <c r="A104" s="144" t="s">
        <v>392</v>
      </c>
      <c r="B104" s="209" t="s">
        <v>393</v>
      </c>
      <c r="C104" s="357"/>
      <c r="D104" s="358"/>
      <c r="E104" s="359"/>
      <c r="F104" s="359"/>
      <c r="G104" s="359"/>
      <c r="H104" s="179">
        <f>I104+J104+K104</f>
        <v>12626820</v>
      </c>
      <c r="I104" s="179">
        <v>12626820</v>
      </c>
      <c r="J104" s="179"/>
      <c r="K104" s="179"/>
      <c r="L104" s="231" t="s">
        <v>394</v>
      </c>
      <c r="M104" s="232"/>
      <c r="N104" s="84"/>
    </row>
    <row r="105" spans="1:14" ht="25.5" customHeight="1" thickBot="1" x14ac:dyDescent="0.25">
      <c r="A105" s="248" t="s">
        <v>144</v>
      </c>
      <c r="B105" s="40"/>
      <c r="C105" s="40"/>
      <c r="D105" s="40"/>
      <c r="E105" s="40"/>
      <c r="F105" s="40"/>
      <c r="G105" s="40"/>
      <c r="H105" s="60">
        <f t="shared" si="36"/>
        <v>335732476.13999999</v>
      </c>
      <c r="I105" s="60">
        <f>SUM(I106:I111)</f>
        <v>335732476.13999999</v>
      </c>
      <c r="J105" s="60">
        <f t="shared" ref="J105:K105" si="41">SUM(J106:J111)</f>
        <v>0</v>
      </c>
      <c r="K105" s="60">
        <f t="shared" si="41"/>
        <v>0</v>
      </c>
      <c r="L105" s="231"/>
      <c r="M105" s="232"/>
      <c r="N105" s="84"/>
    </row>
    <row r="106" spans="1:14" ht="25.5" customHeight="1" x14ac:dyDescent="0.2">
      <c r="A106" s="142" t="s">
        <v>385</v>
      </c>
      <c r="B106" s="148" t="s">
        <v>386</v>
      </c>
      <c r="C106" s="169"/>
      <c r="D106" s="169"/>
      <c r="E106" s="169"/>
      <c r="F106" s="169"/>
      <c r="G106" s="169"/>
      <c r="H106" s="347">
        <f t="shared" si="36"/>
        <v>1993404.82</v>
      </c>
      <c r="I106" s="177">
        <f>I100</f>
        <v>1993404.82</v>
      </c>
      <c r="J106" s="177">
        <f t="shared" ref="J106:K106" si="42">J100</f>
        <v>0</v>
      </c>
      <c r="K106" s="177">
        <f t="shared" si="42"/>
        <v>0</v>
      </c>
      <c r="L106" s="231"/>
      <c r="M106" s="232"/>
      <c r="N106" s="84"/>
    </row>
    <row r="107" spans="1:14" ht="25.5" customHeight="1" x14ac:dyDescent="0.2">
      <c r="A107" s="142" t="s">
        <v>387</v>
      </c>
      <c r="B107" s="148" t="s">
        <v>388</v>
      </c>
      <c r="C107" s="186"/>
      <c r="D107" s="186"/>
      <c r="E107" s="186"/>
      <c r="F107" s="186"/>
      <c r="G107" s="186"/>
      <c r="H107" s="347">
        <f t="shared" si="36"/>
        <v>24549402.059999999</v>
      </c>
      <c r="I107" s="194">
        <f>I101</f>
        <v>24549402.059999999</v>
      </c>
      <c r="J107" s="194">
        <f t="shared" ref="J107:K107" si="43">J101</f>
        <v>0</v>
      </c>
      <c r="K107" s="194">
        <f t="shared" si="43"/>
        <v>0</v>
      </c>
      <c r="L107" s="231"/>
      <c r="M107" s="232"/>
      <c r="N107" s="84"/>
    </row>
    <row r="108" spans="1:14" ht="38.25" x14ac:dyDescent="0.2">
      <c r="A108" s="142" t="s">
        <v>396</v>
      </c>
      <c r="B108" s="148" t="s">
        <v>389</v>
      </c>
      <c r="C108" s="186"/>
      <c r="D108" s="186"/>
      <c r="E108" s="186"/>
      <c r="F108" s="186"/>
      <c r="G108" s="186"/>
      <c r="H108" s="347">
        <f t="shared" si="36"/>
        <v>34937281.399999999</v>
      </c>
      <c r="I108" s="194">
        <f>I102</f>
        <v>34937281.399999999</v>
      </c>
      <c r="J108" s="194">
        <f t="shared" ref="J108:K108" si="44">J102</f>
        <v>0</v>
      </c>
      <c r="K108" s="194">
        <f t="shared" si="44"/>
        <v>0</v>
      </c>
      <c r="L108" s="231"/>
      <c r="M108" s="232"/>
      <c r="N108" s="84"/>
    </row>
    <row r="109" spans="1:14" ht="25.5" customHeight="1" x14ac:dyDescent="0.2">
      <c r="A109" s="143" t="s">
        <v>392</v>
      </c>
      <c r="B109" s="148" t="s">
        <v>393</v>
      </c>
      <c r="C109" s="211"/>
      <c r="D109" s="211"/>
      <c r="E109" s="211"/>
      <c r="F109" s="211"/>
      <c r="G109" s="211"/>
      <c r="H109" s="347">
        <f t="shared" si="36"/>
        <v>12626820</v>
      </c>
      <c r="I109" s="147">
        <f>I104</f>
        <v>12626820</v>
      </c>
      <c r="J109" s="147">
        <f t="shared" ref="J109:K109" si="45">J104</f>
        <v>0</v>
      </c>
      <c r="K109" s="147">
        <f t="shared" si="45"/>
        <v>0</v>
      </c>
      <c r="L109" s="231"/>
      <c r="M109" s="232"/>
      <c r="N109" s="84"/>
    </row>
    <row r="110" spans="1:14" ht="25.5" customHeight="1" x14ac:dyDescent="0.2">
      <c r="A110" s="143" t="s">
        <v>24</v>
      </c>
      <c r="B110" s="206" t="s">
        <v>110</v>
      </c>
      <c r="C110" s="211"/>
      <c r="D110" s="211"/>
      <c r="E110" s="211"/>
      <c r="F110" s="211"/>
      <c r="G110" s="211"/>
      <c r="H110" s="347">
        <f t="shared" si="36"/>
        <v>6625567.8600000003</v>
      </c>
      <c r="I110" s="147">
        <f>I95+I97</f>
        <v>6625567.8600000003</v>
      </c>
      <c r="J110" s="147">
        <f>J95+J97</f>
        <v>0</v>
      </c>
      <c r="K110" s="147">
        <f>K95+K97</f>
        <v>0</v>
      </c>
      <c r="L110" s="231"/>
      <c r="M110" s="232"/>
      <c r="N110" s="84"/>
    </row>
    <row r="111" spans="1:14" ht="30" customHeight="1" thickBot="1" x14ac:dyDescent="0.25">
      <c r="A111" s="170" t="s">
        <v>260</v>
      </c>
      <c r="B111" s="235" t="s">
        <v>263</v>
      </c>
      <c r="C111" s="199"/>
      <c r="D111" s="200"/>
      <c r="E111" s="201"/>
      <c r="F111" s="196"/>
      <c r="G111" s="201"/>
      <c r="H111" s="321">
        <f t="shared" si="36"/>
        <v>255000000</v>
      </c>
      <c r="I111" s="196">
        <f>I92</f>
        <v>255000000</v>
      </c>
      <c r="J111" s="196">
        <f>J92</f>
        <v>0</v>
      </c>
      <c r="K111" s="196">
        <f>K92</f>
        <v>0</v>
      </c>
      <c r="L111" s="231"/>
      <c r="M111" s="232"/>
      <c r="N111" s="84"/>
    </row>
    <row r="112" spans="1:14" ht="36" customHeight="1" thickBot="1" x14ac:dyDescent="0.25">
      <c r="A112" s="247" t="s">
        <v>66</v>
      </c>
      <c r="B112" s="247"/>
      <c r="C112" s="247"/>
      <c r="D112" s="247"/>
      <c r="E112" s="247"/>
      <c r="F112" s="247"/>
      <c r="G112" s="247"/>
      <c r="H112" s="34">
        <f>I112+J112+K112</f>
        <v>2309147564.1199999</v>
      </c>
      <c r="I112" s="34">
        <f>SUM(I113:I137)</f>
        <v>2156528051.3199997</v>
      </c>
      <c r="J112" s="34">
        <f>SUM(J114:J137)</f>
        <v>102114462.29000001</v>
      </c>
      <c r="K112" s="34">
        <f>SUM(K114:K137)</f>
        <v>50505050.509999998</v>
      </c>
      <c r="L112" s="3">
        <f>H43+H78+H105</f>
        <v>2309147564.1200004</v>
      </c>
      <c r="M112" s="94">
        <f>SUM(H113:H137)</f>
        <v>2309147564.1199999</v>
      </c>
    </row>
    <row r="113" spans="1:13" ht="25.5" x14ac:dyDescent="0.2">
      <c r="A113" s="142" t="s">
        <v>362</v>
      </c>
      <c r="B113" s="148" t="s">
        <v>363</v>
      </c>
      <c r="C113" s="361"/>
      <c r="D113" s="361"/>
      <c r="E113" s="361"/>
      <c r="F113" s="361"/>
      <c r="G113" s="361"/>
      <c r="H113" s="24">
        <f t="shared" si="36"/>
        <v>108183.24</v>
      </c>
      <c r="I113" s="177">
        <f t="shared" ref="I113:K122" si="46">I44</f>
        <v>108183.24</v>
      </c>
      <c r="J113" s="177">
        <f t="shared" si="46"/>
        <v>0</v>
      </c>
      <c r="K113" s="177">
        <f t="shared" si="46"/>
        <v>0</v>
      </c>
      <c r="L113" s="3"/>
      <c r="M113" s="94"/>
    </row>
    <row r="114" spans="1:13" ht="27.75" customHeight="1" x14ac:dyDescent="0.2">
      <c r="A114" s="142" t="s">
        <v>206</v>
      </c>
      <c r="B114" s="148" t="s">
        <v>148</v>
      </c>
      <c r="C114" s="238"/>
      <c r="D114" s="238"/>
      <c r="E114" s="238"/>
      <c r="F114" s="238"/>
      <c r="G114" s="238"/>
      <c r="H114" s="24">
        <f t="shared" si="36"/>
        <v>987024.38</v>
      </c>
      <c r="I114" s="120">
        <f t="shared" si="46"/>
        <v>987024.38</v>
      </c>
      <c r="J114" s="120">
        <f t="shared" si="46"/>
        <v>0</v>
      </c>
      <c r="K114" s="120">
        <f t="shared" si="46"/>
        <v>0</v>
      </c>
      <c r="L114" s="3"/>
      <c r="M114" s="94"/>
    </row>
    <row r="115" spans="1:13" ht="27.75" customHeight="1" x14ac:dyDescent="0.2">
      <c r="A115" s="142" t="s">
        <v>252</v>
      </c>
      <c r="B115" s="148" t="s">
        <v>213</v>
      </c>
      <c r="C115" s="238"/>
      <c r="D115" s="238"/>
      <c r="E115" s="238"/>
      <c r="F115" s="238"/>
      <c r="G115" s="238"/>
      <c r="H115" s="23">
        <f t="shared" si="36"/>
        <v>33067481.149999999</v>
      </c>
      <c r="I115" s="120">
        <f t="shared" si="46"/>
        <v>33067481.149999999</v>
      </c>
      <c r="J115" s="120">
        <f t="shared" si="46"/>
        <v>0</v>
      </c>
      <c r="K115" s="120">
        <f t="shared" si="46"/>
        <v>0</v>
      </c>
      <c r="L115" s="3"/>
      <c r="M115" s="94"/>
    </row>
    <row r="116" spans="1:13" ht="27.75" customHeight="1" x14ac:dyDescent="0.2">
      <c r="A116" s="142" t="s">
        <v>291</v>
      </c>
      <c r="B116" s="148" t="s">
        <v>298</v>
      </c>
      <c r="C116" s="238"/>
      <c r="D116" s="238"/>
      <c r="E116" s="238"/>
      <c r="F116" s="238"/>
      <c r="G116" s="238"/>
      <c r="H116" s="23">
        <f t="shared" si="36"/>
        <v>1123149.29</v>
      </c>
      <c r="I116" s="120">
        <f t="shared" si="46"/>
        <v>1123149.29</v>
      </c>
      <c r="J116" s="120">
        <f t="shared" si="46"/>
        <v>0</v>
      </c>
      <c r="K116" s="120">
        <f t="shared" si="46"/>
        <v>0</v>
      </c>
      <c r="L116" s="3"/>
      <c r="M116" s="94"/>
    </row>
    <row r="117" spans="1:13" ht="27.75" customHeight="1" x14ac:dyDescent="0.2">
      <c r="A117" s="142" t="s">
        <v>292</v>
      </c>
      <c r="B117" s="148" t="s">
        <v>298</v>
      </c>
      <c r="C117" s="238"/>
      <c r="D117" s="238"/>
      <c r="E117" s="238"/>
      <c r="F117" s="238"/>
      <c r="G117" s="238"/>
      <c r="H117" s="23">
        <f t="shared" si="36"/>
        <v>19847732.579999998</v>
      </c>
      <c r="I117" s="120">
        <f t="shared" si="46"/>
        <v>19847732.579999998</v>
      </c>
      <c r="J117" s="120">
        <f t="shared" si="46"/>
        <v>0</v>
      </c>
      <c r="K117" s="120">
        <f t="shared" si="46"/>
        <v>0</v>
      </c>
      <c r="L117" s="3"/>
      <c r="M117" s="94"/>
    </row>
    <row r="118" spans="1:13" ht="27.75" customHeight="1" x14ac:dyDescent="0.2">
      <c r="A118" s="142" t="s">
        <v>293</v>
      </c>
      <c r="B118" s="148" t="s">
        <v>298</v>
      </c>
      <c r="C118" s="238"/>
      <c r="D118" s="238"/>
      <c r="E118" s="238"/>
      <c r="F118" s="238"/>
      <c r="G118" s="238"/>
      <c r="H118" s="23">
        <f t="shared" si="36"/>
        <v>91344046.599999994</v>
      </c>
      <c r="I118" s="120">
        <f t="shared" si="46"/>
        <v>91344046.599999994</v>
      </c>
      <c r="J118" s="120">
        <f t="shared" si="46"/>
        <v>0</v>
      </c>
      <c r="K118" s="120">
        <f t="shared" si="46"/>
        <v>0</v>
      </c>
      <c r="L118" s="3"/>
      <c r="M118" s="94"/>
    </row>
    <row r="119" spans="1:13" ht="27.75" customHeight="1" x14ac:dyDescent="0.2">
      <c r="A119" s="142" t="s">
        <v>164</v>
      </c>
      <c r="B119" s="148" t="s">
        <v>214</v>
      </c>
      <c r="C119" s="238"/>
      <c r="D119" s="238"/>
      <c r="E119" s="238"/>
      <c r="F119" s="238"/>
      <c r="G119" s="238"/>
      <c r="H119" s="23">
        <f t="shared" si="36"/>
        <v>1852511.85</v>
      </c>
      <c r="I119" s="120">
        <f t="shared" si="46"/>
        <v>1852511.85</v>
      </c>
      <c r="J119" s="120">
        <f t="shared" si="46"/>
        <v>0</v>
      </c>
      <c r="K119" s="120">
        <f t="shared" si="46"/>
        <v>0</v>
      </c>
      <c r="L119" s="3"/>
      <c r="M119" s="94"/>
    </row>
    <row r="120" spans="1:13" ht="27.75" customHeight="1" x14ac:dyDescent="0.2">
      <c r="A120" s="142" t="s">
        <v>165</v>
      </c>
      <c r="B120" s="148" t="s">
        <v>214</v>
      </c>
      <c r="C120" s="238"/>
      <c r="D120" s="238"/>
      <c r="E120" s="238"/>
      <c r="F120" s="238"/>
      <c r="G120" s="238"/>
      <c r="H120" s="23">
        <f t="shared" si="36"/>
        <v>183398672.81999999</v>
      </c>
      <c r="I120" s="120">
        <f t="shared" si="46"/>
        <v>81284210.530000001</v>
      </c>
      <c r="J120" s="120">
        <f t="shared" si="46"/>
        <v>102114462.29000001</v>
      </c>
      <c r="K120" s="120">
        <f t="shared" si="46"/>
        <v>0</v>
      </c>
      <c r="L120" s="3"/>
      <c r="M120" s="94"/>
    </row>
    <row r="121" spans="1:13" ht="27.75" customHeight="1" x14ac:dyDescent="0.2">
      <c r="A121" s="81" t="s">
        <v>169</v>
      </c>
      <c r="B121" s="77" t="s">
        <v>215</v>
      </c>
      <c r="C121" s="238"/>
      <c r="D121" s="238"/>
      <c r="E121" s="238"/>
      <c r="F121" s="238"/>
      <c r="G121" s="238"/>
      <c r="H121" s="23">
        <f t="shared" si="36"/>
        <v>505050.51</v>
      </c>
      <c r="I121" s="120">
        <f t="shared" si="46"/>
        <v>0</v>
      </c>
      <c r="J121" s="120">
        <f t="shared" si="46"/>
        <v>0</v>
      </c>
      <c r="K121" s="120">
        <f t="shared" si="46"/>
        <v>505050.51</v>
      </c>
      <c r="L121" s="3"/>
      <c r="M121" s="94"/>
    </row>
    <row r="122" spans="1:13" ht="27.75" customHeight="1" x14ac:dyDescent="0.2">
      <c r="A122" s="81" t="s">
        <v>170</v>
      </c>
      <c r="B122" s="77" t="s">
        <v>216</v>
      </c>
      <c r="C122" s="238"/>
      <c r="D122" s="238"/>
      <c r="E122" s="238"/>
      <c r="F122" s="238"/>
      <c r="G122" s="238"/>
      <c r="H122" s="23">
        <f t="shared" si="36"/>
        <v>50000000</v>
      </c>
      <c r="I122" s="120">
        <f t="shared" si="46"/>
        <v>0</v>
      </c>
      <c r="J122" s="120">
        <f t="shared" si="46"/>
        <v>0</v>
      </c>
      <c r="K122" s="120">
        <f t="shared" si="46"/>
        <v>50000000</v>
      </c>
      <c r="L122" s="3"/>
      <c r="M122" s="94"/>
    </row>
    <row r="123" spans="1:13" ht="27.75" customHeight="1" x14ac:dyDescent="0.2">
      <c r="A123" s="142" t="s">
        <v>385</v>
      </c>
      <c r="B123" s="148" t="s">
        <v>386</v>
      </c>
      <c r="C123" s="238"/>
      <c r="D123" s="238"/>
      <c r="E123" s="238"/>
      <c r="F123" s="238"/>
      <c r="G123" s="238"/>
      <c r="H123" s="23">
        <f t="shared" si="36"/>
        <v>1993404.82</v>
      </c>
      <c r="I123" s="120">
        <f>I106</f>
        <v>1993404.82</v>
      </c>
      <c r="J123" s="120">
        <f t="shared" ref="J123:K123" si="47">J106</f>
        <v>0</v>
      </c>
      <c r="K123" s="120">
        <f t="shared" si="47"/>
        <v>0</v>
      </c>
      <c r="L123" s="3"/>
      <c r="M123" s="94"/>
    </row>
    <row r="124" spans="1:13" ht="27.75" customHeight="1" x14ac:dyDescent="0.2">
      <c r="A124" s="142" t="s">
        <v>387</v>
      </c>
      <c r="B124" s="148" t="s">
        <v>388</v>
      </c>
      <c r="C124" s="238"/>
      <c r="D124" s="238"/>
      <c r="E124" s="238"/>
      <c r="F124" s="238"/>
      <c r="G124" s="238"/>
      <c r="H124" s="23">
        <f t="shared" si="36"/>
        <v>24549402.059999999</v>
      </c>
      <c r="I124" s="120">
        <f>I107</f>
        <v>24549402.059999999</v>
      </c>
      <c r="J124" s="120">
        <f t="shared" ref="J124:K124" si="48">J107</f>
        <v>0</v>
      </c>
      <c r="K124" s="120">
        <f t="shared" si="48"/>
        <v>0</v>
      </c>
      <c r="L124" s="3"/>
      <c r="M124" s="94"/>
    </row>
    <row r="125" spans="1:13" ht="38.25" x14ac:dyDescent="0.2">
      <c r="A125" s="142" t="s">
        <v>396</v>
      </c>
      <c r="B125" s="148" t="s">
        <v>389</v>
      </c>
      <c r="C125" s="238"/>
      <c r="D125" s="238"/>
      <c r="E125" s="238"/>
      <c r="F125" s="238"/>
      <c r="G125" s="238"/>
      <c r="H125" s="23">
        <f t="shared" si="36"/>
        <v>34937281.399999999</v>
      </c>
      <c r="I125" s="120">
        <f>I108</f>
        <v>34937281.399999999</v>
      </c>
      <c r="J125" s="120">
        <f t="shared" ref="J125:K125" si="49">J108</f>
        <v>0</v>
      </c>
      <c r="K125" s="120">
        <f t="shared" si="49"/>
        <v>0</v>
      </c>
      <c r="L125" s="3"/>
      <c r="M125" s="94"/>
    </row>
    <row r="126" spans="1:13" ht="27.75" customHeight="1" x14ac:dyDescent="0.2">
      <c r="A126" s="143" t="s">
        <v>392</v>
      </c>
      <c r="B126" s="148" t="s">
        <v>393</v>
      </c>
      <c r="C126" s="238"/>
      <c r="D126" s="238"/>
      <c r="E126" s="238"/>
      <c r="F126" s="238"/>
      <c r="G126" s="238"/>
      <c r="H126" s="23">
        <f t="shared" si="36"/>
        <v>12626820</v>
      </c>
      <c r="I126" s="120">
        <f>I109</f>
        <v>12626820</v>
      </c>
      <c r="J126" s="120">
        <f t="shared" ref="J126:K126" si="50">J109</f>
        <v>0</v>
      </c>
      <c r="K126" s="120">
        <f t="shared" si="50"/>
        <v>0</v>
      </c>
      <c r="L126" s="3"/>
      <c r="M126" s="94"/>
    </row>
    <row r="127" spans="1:13" ht="27.75" customHeight="1" x14ac:dyDescent="0.2">
      <c r="A127" s="143" t="s">
        <v>24</v>
      </c>
      <c r="B127" s="206" t="s">
        <v>110</v>
      </c>
      <c r="C127" s="238"/>
      <c r="D127" s="238"/>
      <c r="E127" s="238"/>
      <c r="F127" s="238"/>
      <c r="G127" s="238"/>
      <c r="H127" s="23">
        <f t="shared" si="36"/>
        <v>6625567.8600000003</v>
      </c>
      <c r="I127" s="120">
        <f>I110</f>
        <v>6625567.8600000003</v>
      </c>
      <c r="J127" s="120">
        <f t="shared" ref="J127:K127" si="51">J110</f>
        <v>0</v>
      </c>
      <c r="K127" s="120">
        <f t="shared" si="51"/>
        <v>0</v>
      </c>
      <c r="L127" s="3"/>
      <c r="M127" s="94"/>
    </row>
    <row r="128" spans="1:13" ht="27.75" customHeight="1" x14ac:dyDescent="0.2">
      <c r="A128" s="142" t="s">
        <v>344</v>
      </c>
      <c r="B128" s="148" t="s">
        <v>372</v>
      </c>
      <c r="C128" s="238"/>
      <c r="D128" s="238"/>
      <c r="E128" s="238"/>
      <c r="F128" s="238"/>
      <c r="G128" s="238"/>
      <c r="H128" s="23">
        <f t="shared" si="36"/>
        <v>1609577.58</v>
      </c>
      <c r="I128" s="120">
        <f t="shared" ref="I128:I133" si="52">I79</f>
        <v>1609577.58</v>
      </c>
      <c r="J128" s="120">
        <f t="shared" ref="J128:K133" si="53">J79</f>
        <v>0</v>
      </c>
      <c r="K128" s="120">
        <f t="shared" si="53"/>
        <v>0</v>
      </c>
      <c r="L128" s="3"/>
      <c r="M128" s="94"/>
    </row>
    <row r="129" spans="1:16" ht="27.75" customHeight="1" x14ac:dyDescent="0.2">
      <c r="A129" s="143" t="s">
        <v>344</v>
      </c>
      <c r="B129" s="206" t="s">
        <v>375</v>
      </c>
      <c r="C129" s="238"/>
      <c r="D129" s="238"/>
      <c r="E129" s="238"/>
      <c r="F129" s="238"/>
      <c r="G129" s="238"/>
      <c r="H129" s="23">
        <f t="shared" si="36"/>
        <v>2549534.5</v>
      </c>
      <c r="I129" s="120">
        <f t="shared" si="52"/>
        <v>2549534.5</v>
      </c>
      <c r="J129" s="120">
        <f t="shared" si="53"/>
        <v>0</v>
      </c>
      <c r="K129" s="120">
        <f t="shared" si="53"/>
        <v>0</v>
      </c>
      <c r="L129" s="3"/>
      <c r="M129" s="94"/>
    </row>
    <row r="130" spans="1:16" ht="27.75" customHeight="1" x14ac:dyDescent="0.2">
      <c r="A130" s="142" t="s">
        <v>344</v>
      </c>
      <c r="B130" s="148" t="s">
        <v>346</v>
      </c>
      <c r="C130" s="238"/>
      <c r="D130" s="238"/>
      <c r="E130" s="238"/>
      <c r="F130" s="238"/>
      <c r="G130" s="238"/>
      <c r="H130" s="23">
        <f t="shared" si="36"/>
        <v>601413.87999999989</v>
      </c>
      <c r="I130" s="120">
        <f t="shared" si="52"/>
        <v>601413.87999999989</v>
      </c>
      <c r="J130" s="120">
        <f t="shared" si="53"/>
        <v>0</v>
      </c>
      <c r="K130" s="120">
        <f t="shared" si="53"/>
        <v>0</v>
      </c>
      <c r="L130" s="3"/>
      <c r="M130" s="94"/>
    </row>
    <row r="131" spans="1:16" ht="27.75" customHeight="1" x14ac:dyDescent="0.2">
      <c r="A131" s="142" t="s">
        <v>344</v>
      </c>
      <c r="B131" s="148" t="s">
        <v>348</v>
      </c>
      <c r="C131" s="238"/>
      <c r="D131" s="238"/>
      <c r="E131" s="238"/>
      <c r="F131" s="238"/>
      <c r="G131" s="238"/>
      <c r="H131" s="23">
        <f t="shared" si="36"/>
        <v>2202384.46</v>
      </c>
      <c r="I131" s="120">
        <f t="shared" si="52"/>
        <v>2202384.46</v>
      </c>
      <c r="J131" s="120">
        <f t="shared" si="53"/>
        <v>0</v>
      </c>
      <c r="K131" s="120">
        <f t="shared" si="53"/>
        <v>0</v>
      </c>
      <c r="L131" s="3"/>
      <c r="M131" s="94"/>
    </row>
    <row r="132" spans="1:16" ht="27.75" customHeight="1" x14ac:dyDescent="0.2">
      <c r="A132" s="142" t="s">
        <v>377</v>
      </c>
      <c r="B132" s="148" t="s">
        <v>379</v>
      </c>
      <c r="C132" s="238"/>
      <c r="D132" s="238"/>
      <c r="E132" s="238"/>
      <c r="F132" s="238"/>
      <c r="G132" s="238"/>
      <c r="H132" s="23">
        <f t="shared" si="36"/>
        <v>2014093.1</v>
      </c>
      <c r="I132" s="120">
        <f t="shared" si="52"/>
        <v>2014093.1</v>
      </c>
      <c r="J132" s="120">
        <f t="shared" si="53"/>
        <v>0</v>
      </c>
      <c r="K132" s="120">
        <f t="shared" si="53"/>
        <v>0</v>
      </c>
      <c r="L132" s="3"/>
      <c r="M132" s="94"/>
    </row>
    <row r="133" spans="1:16" ht="27.75" customHeight="1" x14ac:dyDescent="0.2">
      <c r="A133" s="142" t="s">
        <v>354</v>
      </c>
      <c r="B133" s="148" t="s">
        <v>353</v>
      </c>
      <c r="C133" s="238"/>
      <c r="D133" s="238"/>
      <c r="E133" s="238"/>
      <c r="F133" s="238"/>
      <c r="G133" s="238"/>
      <c r="H133" s="23">
        <f t="shared" si="36"/>
        <v>38267768.880000003</v>
      </c>
      <c r="I133" s="120">
        <f t="shared" si="52"/>
        <v>38267768.880000003</v>
      </c>
      <c r="J133" s="120">
        <f t="shared" si="53"/>
        <v>0</v>
      </c>
      <c r="K133" s="120">
        <f t="shared" si="53"/>
        <v>0</v>
      </c>
      <c r="L133" s="3"/>
      <c r="M133" s="94"/>
    </row>
    <row r="134" spans="1:16" ht="27.75" customHeight="1" x14ac:dyDescent="0.2">
      <c r="A134" s="143" t="s">
        <v>260</v>
      </c>
      <c r="B134" s="206" t="s">
        <v>263</v>
      </c>
      <c r="C134" s="238"/>
      <c r="D134" s="238"/>
      <c r="E134" s="238"/>
      <c r="F134" s="238"/>
      <c r="G134" s="238"/>
      <c r="H134" s="23">
        <f t="shared" si="36"/>
        <v>255000000</v>
      </c>
      <c r="I134" s="120">
        <f>I111</f>
        <v>255000000</v>
      </c>
      <c r="J134" s="120">
        <f>J111</f>
        <v>0</v>
      </c>
      <c r="K134" s="120">
        <f>K111</f>
        <v>0</v>
      </c>
      <c r="L134" s="3"/>
      <c r="M134" s="94"/>
    </row>
    <row r="135" spans="1:16" ht="27.75" customHeight="1" x14ac:dyDescent="0.2">
      <c r="A135" s="143" t="s">
        <v>406</v>
      </c>
      <c r="B135" s="206" t="s">
        <v>407</v>
      </c>
      <c r="C135" s="238"/>
      <c r="D135" s="238"/>
      <c r="E135" s="238"/>
      <c r="F135" s="238"/>
      <c r="G135" s="238"/>
      <c r="H135" s="23">
        <f t="shared" si="36"/>
        <v>3353000</v>
      </c>
      <c r="I135" s="120">
        <f>I54</f>
        <v>3353000</v>
      </c>
      <c r="J135" s="120">
        <f t="shared" ref="J135:K135" si="54">J54</f>
        <v>0</v>
      </c>
      <c r="K135" s="120">
        <f t="shared" si="54"/>
        <v>0</v>
      </c>
      <c r="L135" s="3"/>
      <c r="M135" s="94"/>
    </row>
    <row r="136" spans="1:16" ht="29.25" customHeight="1" x14ac:dyDescent="0.2">
      <c r="A136" s="143" t="s">
        <v>258</v>
      </c>
      <c r="B136" s="212" t="s">
        <v>219</v>
      </c>
      <c r="C136" s="32"/>
      <c r="D136" s="32"/>
      <c r="E136" s="32"/>
      <c r="F136" s="32"/>
      <c r="G136" s="32"/>
      <c r="H136" s="23">
        <f t="shared" si="36"/>
        <v>77029173.159999996</v>
      </c>
      <c r="I136" s="23">
        <f>I55</f>
        <v>77029173.159999996</v>
      </c>
      <c r="J136" s="23">
        <f>J55</f>
        <v>0</v>
      </c>
      <c r="K136" s="23">
        <f>K55</f>
        <v>0</v>
      </c>
      <c r="M136" s="84"/>
    </row>
    <row r="137" spans="1:16" ht="30.75" customHeight="1" thickBot="1" x14ac:dyDescent="0.25">
      <c r="A137" s="144" t="s">
        <v>259</v>
      </c>
      <c r="B137" s="78" t="s">
        <v>220</v>
      </c>
      <c r="C137" s="338"/>
      <c r="D137" s="338"/>
      <c r="E137" s="338"/>
      <c r="F137" s="338"/>
      <c r="G137" s="338"/>
      <c r="H137" s="25">
        <f t="shared" si="36"/>
        <v>1463554290</v>
      </c>
      <c r="I137" s="25">
        <f>I56</f>
        <v>1463554290</v>
      </c>
      <c r="J137" s="25">
        <f>J56</f>
        <v>0</v>
      </c>
      <c r="K137" s="25">
        <f>K56</f>
        <v>0</v>
      </c>
      <c r="M137" s="84"/>
    </row>
    <row r="138" spans="1:16" ht="26.25" customHeight="1" thickBot="1" x14ac:dyDescent="0.25">
      <c r="A138" s="400" t="s">
        <v>40</v>
      </c>
      <c r="B138" s="400"/>
      <c r="C138" s="400"/>
      <c r="D138" s="400"/>
      <c r="E138" s="400"/>
      <c r="F138" s="400"/>
      <c r="G138" s="400"/>
      <c r="H138" s="400"/>
      <c r="I138" s="400"/>
      <c r="J138" s="400"/>
      <c r="K138" s="400"/>
    </row>
    <row r="139" spans="1:16" ht="28.5" customHeight="1" thickBot="1" x14ac:dyDescent="0.25">
      <c r="A139" s="399" t="s">
        <v>44</v>
      </c>
      <c r="B139" s="399"/>
      <c r="C139" s="399"/>
      <c r="D139" s="399"/>
      <c r="E139" s="399"/>
      <c r="F139" s="399"/>
      <c r="G139" s="399"/>
      <c r="H139" s="399"/>
      <c r="I139" s="399"/>
      <c r="J139" s="399"/>
      <c r="K139" s="399"/>
    </row>
    <row r="140" spans="1:16" ht="44.25" customHeight="1" thickBot="1" x14ac:dyDescent="0.25">
      <c r="A140" s="10" t="s">
        <v>31</v>
      </c>
      <c r="B140" s="123"/>
      <c r="C140" s="38"/>
      <c r="D140" s="38"/>
      <c r="E140" s="39"/>
      <c r="F140" s="39"/>
      <c r="G140" s="39"/>
      <c r="H140" s="57">
        <f>I140+J140+K140</f>
        <v>258893826.44999999</v>
      </c>
      <c r="I140" s="57">
        <f>I141+I181</f>
        <v>62074726.439999998</v>
      </c>
      <c r="J140" s="57">
        <f t="shared" ref="J140:K140" si="55">J141+J181</f>
        <v>117484699.87</v>
      </c>
      <c r="K140" s="57">
        <f t="shared" si="55"/>
        <v>79334400.140000001</v>
      </c>
      <c r="L140" s="3">
        <f>H141+H181</f>
        <v>258893826.45000002</v>
      </c>
      <c r="O140" s="84"/>
    </row>
    <row r="141" spans="1:16" ht="43.5" customHeight="1" thickBot="1" x14ac:dyDescent="0.25">
      <c r="A141" s="83" t="s">
        <v>19</v>
      </c>
      <c r="B141" s="203"/>
      <c r="C141" s="204"/>
      <c r="D141" s="204"/>
      <c r="E141" s="205"/>
      <c r="F141" s="205"/>
      <c r="G141" s="205"/>
      <c r="H141" s="47">
        <f>I141+J141+K141</f>
        <v>244076443.86000001</v>
      </c>
      <c r="I141" s="47">
        <f>I142+I147+I150+I156+I158+I160+I162+I164+I166+I168+I170+I172+I177+I154+I174</f>
        <v>47257343.850000001</v>
      </c>
      <c r="J141" s="47">
        <f t="shared" ref="J141:K141" si="56">J142+J196+J147+J150+J156+J158+J160+J162+J164+J166+J168+J170+J172+J176</f>
        <v>117484699.87</v>
      </c>
      <c r="K141" s="47">
        <f t="shared" si="56"/>
        <v>79334400.140000001</v>
      </c>
      <c r="L141" s="3">
        <f>H142+H147+H150+H156+H158+H160+H162+H164+H166+H168+H170+H172+H177+H154+H174</f>
        <v>244076443.85999998</v>
      </c>
      <c r="N141" s="84"/>
      <c r="O141" s="84"/>
    </row>
    <row r="142" spans="1:16" ht="38.25" x14ac:dyDescent="0.2">
      <c r="A142" s="110" t="s">
        <v>111</v>
      </c>
      <c r="B142" s="80" t="s">
        <v>45</v>
      </c>
      <c r="C142" s="31" t="s">
        <v>178</v>
      </c>
      <c r="D142" s="214" t="s">
        <v>25</v>
      </c>
      <c r="E142" s="177">
        <v>43813900</v>
      </c>
      <c r="F142" s="181">
        <v>41160</v>
      </c>
      <c r="G142" s="177">
        <f>E142-F142</f>
        <v>43772740</v>
      </c>
      <c r="H142" s="29">
        <f t="shared" ref="H142:H155" si="57">I142+J142+K142</f>
        <v>44394700</v>
      </c>
      <c r="I142" s="29">
        <f>SUM(I143:I145)</f>
        <v>1910000</v>
      </c>
      <c r="J142" s="29">
        <f>SUM(J144:J145)</f>
        <v>42484700</v>
      </c>
      <c r="K142" s="29">
        <f>SUM(K144:K145)</f>
        <v>0</v>
      </c>
      <c r="L142" s="42"/>
      <c r="M142" s="42"/>
      <c r="N142" s="42"/>
      <c r="O142" s="42"/>
      <c r="P142" s="42"/>
    </row>
    <row r="143" spans="1:16" ht="25.5" x14ac:dyDescent="0.2">
      <c r="A143" s="81" t="s">
        <v>24</v>
      </c>
      <c r="B143" s="77" t="s">
        <v>110</v>
      </c>
      <c r="C143" s="41"/>
      <c r="D143" s="335"/>
      <c r="E143" s="194"/>
      <c r="F143" s="175"/>
      <c r="G143" s="194"/>
      <c r="H143" s="301">
        <f t="shared" si="57"/>
        <v>1910000</v>
      </c>
      <c r="I143" s="8">
        <v>1910000</v>
      </c>
      <c r="J143" s="8"/>
      <c r="K143" s="8"/>
      <c r="L143" s="42" t="s">
        <v>300</v>
      </c>
      <c r="M143" s="42"/>
      <c r="N143" s="42"/>
      <c r="O143" s="42"/>
      <c r="P143" s="42"/>
    </row>
    <row r="144" spans="1:16" ht="25.5" x14ac:dyDescent="0.2">
      <c r="A144" s="213" t="s">
        <v>193</v>
      </c>
      <c r="B144" s="287" t="s">
        <v>179</v>
      </c>
      <c r="C144" s="290"/>
      <c r="D144" s="291"/>
      <c r="E144" s="277"/>
      <c r="F144" s="286"/>
      <c r="G144" s="277"/>
      <c r="H144" s="301">
        <f t="shared" si="57"/>
        <v>2124235</v>
      </c>
      <c r="I144" s="289"/>
      <c r="J144" s="289">
        <v>2124235</v>
      </c>
      <c r="K144" s="289"/>
      <c r="L144" s="42"/>
      <c r="M144" s="42"/>
      <c r="N144" s="42"/>
      <c r="O144" s="42"/>
      <c r="P144" s="42"/>
    </row>
    <row r="145" spans="1:16" ht="25.5" x14ac:dyDescent="0.2">
      <c r="A145" s="142" t="s">
        <v>194</v>
      </c>
      <c r="B145" s="148" t="s">
        <v>180</v>
      </c>
      <c r="C145" s="41"/>
      <c r="D145" s="11"/>
      <c r="E145" s="265"/>
      <c r="F145" s="151"/>
      <c r="G145" s="270"/>
      <c r="H145" s="8">
        <f t="shared" si="57"/>
        <v>40360465</v>
      </c>
      <c r="I145" s="8"/>
      <c r="J145" s="8">
        <v>40360465</v>
      </c>
      <c r="K145" s="8"/>
      <c r="L145" s="42"/>
      <c r="M145" s="42"/>
      <c r="N145" s="42"/>
      <c r="O145" s="42"/>
      <c r="P145" s="42"/>
    </row>
    <row r="146" spans="1:16" ht="39" thickBot="1" x14ac:dyDescent="0.25">
      <c r="A146" s="9" t="s">
        <v>86</v>
      </c>
      <c r="B146" s="295"/>
      <c r="C146" s="290"/>
      <c r="D146" s="296"/>
      <c r="E146" s="150"/>
      <c r="F146" s="297"/>
      <c r="G146" s="272"/>
      <c r="H146" s="298"/>
      <c r="I146" s="298">
        <v>680720</v>
      </c>
      <c r="J146" s="298"/>
      <c r="K146" s="298"/>
      <c r="L146" s="42"/>
      <c r="M146" s="42"/>
      <c r="N146" s="42"/>
      <c r="O146" s="42"/>
      <c r="P146" s="42"/>
    </row>
    <row r="147" spans="1:16" ht="42.75" customHeight="1" x14ac:dyDescent="0.2">
      <c r="A147" s="110" t="s">
        <v>113</v>
      </c>
      <c r="B147" s="30" t="s">
        <v>45</v>
      </c>
      <c r="C147" s="71" t="s">
        <v>181</v>
      </c>
      <c r="D147" s="216" t="s">
        <v>182</v>
      </c>
      <c r="E147" s="88">
        <v>143594700</v>
      </c>
      <c r="F147" s="68">
        <v>2770660</v>
      </c>
      <c r="G147" s="88">
        <f>E147-F147</f>
        <v>140824040</v>
      </c>
      <c r="H147" s="29">
        <f t="shared" si="57"/>
        <v>90842400.010000005</v>
      </c>
      <c r="I147" s="29">
        <f>SUM(I148:I149)</f>
        <v>0</v>
      </c>
      <c r="J147" s="29">
        <f>SUM(J148:J149)</f>
        <v>44999999.870000005</v>
      </c>
      <c r="K147" s="29">
        <f>SUM(K148:K149)</f>
        <v>45842400.140000001</v>
      </c>
      <c r="L147" s="42"/>
      <c r="M147" s="42"/>
      <c r="N147" s="42"/>
      <c r="O147" s="42"/>
      <c r="P147" s="42"/>
    </row>
    <row r="148" spans="1:16" ht="28.5" customHeight="1" x14ac:dyDescent="0.2">
      <c r="A148" s="213" t="s">
        <v>193</v>
      </c>
      <c r="B148" s="287" t="s">
        <v>183</v>
      </c>
      <c r="C148" s="271"/>
      <c r="D148" s="285"/>
      <c r="E148" s="150"/>
      <c r="F148" s="282"/>
      <c r="G148" s="150"/>
      <c r="H148" s="8">
        <f t="shared" si="57"/>
        <v>4542120</v>
      </c>
      <c r="I148" s="289"/>
      <c r="J148" s="289">
        <v>2249999.9900000002</v>
      </c>
      <c r="K148" s="289">
        <v>2292120.0099999998</v>
      </c>
      <c r="L148" s="42"/>
      <c r="M148" s="42"/>
      <c r="N148" s="42"/>
      <c r="O148" s="42"/>
      <c r="P148" s="42"/>
    </row>
    <row r="149" spans="1:16" ht="30.75" customHeight="1" thickBot="1" x14ac:dyDescent="0.25">
      <c r="A149" s="144" t="s">
        <v>194</v>
      </c>
      <c r="B149" s="209" t="s">
        <v>184</v>
      </c>
      <c r="C149" s="153"/>
      <c r="D149" s="165"/>
      <c r="E149" s="157"/>
      <c r="F149" s="154"/>
      <c r="G149" s="161"/>
      <c r="H149" s="22">
        <f t="shared" si="57"/>
        <v>86300280.010000005</v>
      </c>
      <c r="I149" s="13"/>
      <c r="J149" s="13">
        <v>42749999.880000003</v>
      </c>
      <c r="K149" s="13">
        <v>43550280.130000003</v>
      </c>
      <c r="L149" s="42"/>
      <c r="M149" s="42"/>
      <c r="N149" s="42"/>
      <c r="O149" s="42"/>
      <c r="P149" s="42"/>
    </row>
    <row r="150" spans="1:16" ht="66.75" customHeight="1" x14ac:dyDescent="0.2">
      <c r="A150" s="110" t="s">
        <v>114</v>
      </c>
      <c r="B150" s="30" t="s">
        <v>45</v>
      </c>
      <c r="C150" s="71" t="s">
        <v>185</v>
      </c>
      <c r="D150" s="216" t="s">
        <v>182</v>
      </c>
      <c r="E150" s="177" t="s">
        <v>257</v>
      </c>
      <c r="F150" s="68">
        <v>35000</v>
      </c>
      <c r="G150" s="88" t="s">
        <v>255</v>
      </c>
      <c r="H150" s="29">
        <f t="shared" si="57"/>
        <v>66344333.329999998</v>
      </c>
      <c r="I150" s="29">
        <f>SUM(I151:I153)</f>
        <v>2852333.33</v>
      </c>
      <c r="J150" s="29">
        <f>SUM(J152:J153)</f>
        <v>30000000</v>
      </c>
      <c r="K150" s="29">
        <f>SUM(K152:K153)</f>
        <v>33492000</v>
      </c>
      <c r="L150" s="42"/>
      <c r="M150" s="42"/>
      <c r="N150" s="42"/>
      <c r="O150" s="42"/>
      <c r="P150" s="42"/>
    </row>
    <row r="151" spans="1:16" ht="29.25" customHeight="1" x14ac:dyDescent="0.2">
      <c r="A151" s="81" t="s">
        <v>24</v>
      </c>
      <c r="B151" s="77" t="s">
        <v>110</v>
      </c>
      <c r="C151" s="122"/>
      <c r="D151" s="344"/>
      <c r="E151" s="147"/>
      <c r="F151" s="79"/>
      <c r="G151" s="120"/>
      <c r="H151" s="8">
        <f t="shared" si="57"/>
        <v>2852333.33</v>
      </c>
      <c r="I151" s="301">
        <v>2852333.33</v>
      </c>
      <c r="J151" s="301"/>
      <c r="K151" s="301"/>
      <c r="L151" s="42" t="s">
        <v>301</v>
      </c>
      <c r="M151" s="42"/>
      <c r="N151" s="42"/>
      <c r="O151" s="42"/>
      <c r="P151" s="42"/>
    </row>
    <row r="152" spans="1:16" ht="29.25" customHeight="1" x14ac:dyDescent="0.2">
      <c r="A152" s="222" t="s">
        <v>193</v>
      </c>
      <c r="B152" s="77" t="s">
        <v>186</v>
      </c>
      <c r="C152" s="263"/>
      <c r="D152" s="340"/>
      <c r="E152" s="265"/>
      <c r="F152" s="266"/>
      <c r="G152" s="265"/>
      <c r="H152" s="8">
        <f t="shared" si="57"/>
        <v>3174600</v>
      </c>
      <c r="I152" s="8"/>
      <c r="J152" s="8">
        <v>1500000</v>
      </c>
      <c r="K152" s="8">
        <v>1674600</v>
      </c>
      <c r="L152" s="42"/>
      <c r="M152" s="42"/>
      <c r="N152" s="42"/>
      <c r="O152" s="42"/>
      <c r="P152" s="42"/>
    </row>
    <row r="153" spans="1:16" ht="30" customHeight="1" thickBot="1" x14ac:dyDescent="0.25">
      <c r="A153" s="144" t="s">
        <v>194</v>
      </c>
      <c r="B153" s="209" t="s">
        <v>187</v>
      </c>
      <c r="C153" s="153"/>
      <c r="D153" s="165"/>
      <c r="E153" s="157"/>
      <c r="F153" s="154"/>
      <c r="G153" s="161"/>
      <c r="H153" s="22">
        <f t="shared" si="57"/>
        <v>60317400</v>
      </c>
      <c r="I153" s="13"/>
      <c r="J153" s="13">
        <v>28500000</v>
      </c>
      <c r="K153" s="13">
        <v>31817400</v>
      </c>
      <c r="L153" s="42"/>
      <c r="M153" s="42"/>
      <c r="N153" s="42"/>
      <c r="O153" s="42"/>
      <c r="P153" s="42"/>
    </row>
    <row r="154" spans="1:16" ht="42" customHeight="1" x14ac:dyDescent="0.2">
      <c r="A154" s="76" t="s">
        <v>331</v>
      </c>
      <c r="B154" s="36" t="s">
        <v>45</v>
      </c>
      <c r="C154" s="71" t="s">
        <v>332</v>
      </c>
      <c r="D154" s="216" t="s">
        <v>25</v>
      </c>
      <c r="E154" s="177">
        <v>20153099.210000001</v>
      </c>
      <c r="F154" s="181">
        <v>1859423</v>
      </c>
      <c r="G154" s="177">
        <f>E154-F154</f>
        <v>18293676.210000001</v>
      </c>
      <c r="H154" s="29">
        <f t="shared" si="57"/>
        <v>79494.240000000005</v>
      </c>
      <c r="I154" s="29">
        <f>SUM(I155)</f>
        <v>79494.240000000005</v>
      </c>
      <c r="J154" s="29">
        <f>SUM(J155)</f>
        <v>0</v>
      </c>
      <c r="K154" s="29">
        <f>SUM(K155)</f>
        <v>0</v>
      </c>
      <c r="L154" s="42"/>
      <c r="M154" s="42"/>
      <c r="N154" s="42"/>
      <c r="O154" s="42"/>
      <c r="P154" s="42"/>
    </row>
    <row r="155" spans="1:16" ht="30" customHeight="1" thickBot="1" x14ac:dyDescent="0.25">
      <c r="A155" s="142" t="s">
        <v>333</v>
      </c>
      <c r="B155" s="148" t="s">
        <v>330</v>
      </c>
      <c r="C155" s="349"/>
      <c r="D155" s="350"/>
      <c r="E155" s="150"/>
      <c r="F155" s="297"/>
      <c r="G155" s="272"/>
      <c r="H155" s="22">
        <f t="shared" si="57"/>
        <v>79494.240000000005</v>
      </c>
      <c r="I155" s="22">
        <v>79494.240000000005</v>
      </c>
      <c r="J155" s="22"/>
      <c r="K155" s="22"/>
      <c r="L155" s="42" t="s">
        <v>334</v>
      </c>
      <c r="M155" s="42"/>
      <c r="N155" s="42"/>
      <c r="O155" s="42"/>
      <c r="P155" s="42"/>
    </row>
    <row r="156" spans="1:16" ht="63.75" x14ac:dyDescent="0.2">
      <c r="A156" s="169" t="s">
        <v>157</v>
      </c>
      <c r="B156" s="174" t="s">
        <v>49</v>
      </c>
      <c r="C156" s="71" t="s">
        <v>106</v>
      </c>
      <c r="D156" s="216" t="s">
        <v>152</v>
      </c>
      <c r="E156" s="88">
        <v>1560340</v>
      </c>
      <c r="F156" s="68">
        <v>468102</v>
      </c>
      <c r="G156" s="88">
        <f>E156-F156</f>
        <v>1092238</v>
      </c>
      <c r="H156" s="29">
        <f t="shared" ref="H156:H176" si="58">I156+J156+K156</f>
        <v>1092000</v>
      </c>
      <c r="I156" s="29">
        <f>SUM(I157)</f>
        <v>1092000</v>
      </c>
      <c r="J156" s="29">
        <f>SUM(J157)</f>
        <v>0</v>
      </c>
      <c r="K156" s="29">
        <f>SUM(K157)</f>
        <v>0</v>
      </c>
      <c r="L156" s="42"/>
      <c r="M156" s="42"/>
      <c r="N156" s="42"/>
      <c r="O156" s="42"/>
      <c r="P156" s="42"/>
    </row>
    <row r="157" spans="1:16" ht="32.25" customHeight="1" thickBot="1" x14ac:dyDescent="0.25">
      <c r="A157" s="72" t="s">
        <v>24</v>
      </c>
      <c r="B157" s="78" t="s">
        <v>110</v>
      </c>
      <c r="C157" s="115"/>
      <c r="D157" s="320"/>
      <c r="E157" s="158"/>
      <c r="F157" s="268"/>
      <c r="G157" s="158"/>
      <c r="H157" s="22">
        <f t="shared" si="58"/>
        <v>1092000</v>
      </c>
      <c r="I157" s="22">
        <v>1092000</v>
      </c>
      <c r="J157" s="22"/>
      <c r="K157" s="22"/>
      <c r="L157" s="42"/>
      <c r="M157" s="42"/>
      <c r="N157" s="42"/>
      <c r="O157" s="42"/>
      <c r="P157" s="42"/>
    </row>
    <row r="158" spans="1:16" ht="54" customHeight="1" x14ac:dyDescent="0.2">
      <c r="A158" s="76" t="s">
        <v>90</v>
      </c>
      <c r="B158" s="80" t="s">
        <v>49</v>
      </c>
      <c r="C158" s="192" t="s">
        <v>92</v>
      </c>
      <c r="D158" s="198" t="s">
        <v>28</v>
      </c>
      <c r="E158" s="177" t="s">
        <v>97</v>
      </c>
      <c r="F158" s="181"/>
      <c r="G158" s="177" t="s">
        <v>97</v>
      </c>
      <c r="H158" s="29">
        <f t="shared" si="58"/>
        <v>1100000</v>
      </c>
      <c r="I158" s="29">
        <f>SUM(I159)</f>
        <v>1100000</v>
      </c>
      <c r="J158" s="29">
        <f>SUM(J159)</f>
        <v>0</v>
      </c>
      <c r="K158" s="29">
        <f>SUM(K159)</f>
        <v>0</v>
      </c>
      <c r="L158" s="42"/>
      <c r="M158" s="42"/>
      <c r="N158" s="42"/>
      <c r="O158" s="42"/>
      <c r="P158" s="42"/>
    </row>
    <row r="159" spans="1:16" ht="33" customHeight="1" thickBot="1" x14ac:dyDescent="0.25">
      <c r="A159" s="72" t="s">
        <v>24</v>
      </c>
      <c r="B159" s="78" t="s">
        <v>110</v>
      </c>
      <c r="C159" s="199"/>
      <c r="D159" s="292"/>
      <c r="E159" s="201"/>
      <c r="F159" s="196"/>
      <c r="G159" s="201"/>
      <c r="H159" s="22">
        <f t="shared" si="58"/>
        <v>1100000</v>
      </c>
      <c r="I159" s="22">
        <v>1100000</v>
      </c>
      <c r="J159" s="22"/>
      <c r="K159" s="22"/>
      <c r="L159" s="42"/>
      <c r="M159" s="42"/>
      <c r="N159" s="42"/>
      <c r="O159" s="42"/>
      <c r="P159" s="42"/>
    </row>
    <row r="160" spans="1:16" ht="40.5" customHeight="1" x14ac:dyDescent="0.2">
      <c r="A160" s="110" t="s">
        <v>78</v>
      </c>
      <c r="B160" s="30" t="s">
        <v>49</v>
      </c>
      <c r="C160" s="192" t="s">
        <v>93</v>
      </c>
      <c r="D160" s="198" t="s">
        <v>28</v>
      </c>
      <c r="E160" s="177" t="s">
        <v>99</v>
      </c>
      <c r="F160" s="181"/>
      <c r="G160" s="177" t="s">
        <v>99</v>
      </c>
      <c r="H160" s="29">
        <f t="shared" si="58"/>
        <v>3500000</v>
      </c>
      <c r="I160" s="29">
        <f>SUM(I161:I161)</f>
        <v>3500000</v>
      </c>
      <c r="J160" s="29">
        <f>SUM(J161:J161)</f>
        <v>0</v>
      </c>
      <c r="K160" s="29">
        <f>SUM(K161:K161)</f>
        <v>0</v>
      </c>
      <c r="L160" s="42"/>
      <c r="M160" s="42"/>
      <c r="N160" s="42"/>
      <c r="O160" s="42"/>
      <c r="P160" s="42"/>
    </row>
    <row r="161" spans="1:18" ht="29.25" customHeight="1" thickBot="1" x14ac:dyDescent="0.25">
      <c r="A161" s="210" t="s">
        <v>24</v>
      </c>
      <c r="B161" s="78" t="s">
        <v>110</v>
      </c>
      <c r="C161" s="293"/>
      <c r="D161" s="293"/>
      <c r="E161" s="178"/>
      <c r="F161" s="176"/>
      <c r="G161" s="178"/>
      <c r="H161" s="13">
        <f t="shared" si="58"/>
        <v>3500000</v>
      </c>
      <c r="I161" s="13">
        <v>3500000</v>
      </c>
      <c r="J161" s="13"/>
      <c r="K161" s="13"/>
      <c r="L161" s="149"/>
      <c r="M161" s="42"/>
      <c r="N161" s="42"/>
    </row>
    <row r="162" spans="1:18" ht="68.25" customHeight="1" x14ac:dyDescent="0.2">
      <c r="A162" s="110" t="s">
        <v>107</v>
      </c>
      <c r="B162" s="30" t="s">
        <v>49</v>
      </c>
      <c r="C162" s="192" t="s">
        <v>94</v>
      </c>
      <c r="D162" s="198" t="s">
        <v>28</v>
      </c>
      <c r="E162" s="177" t="s">
        <v>100</v>
      </c>
      <c r="F162" s="181"/>
      <c r="G162" s="177" t="s">
        <v>100</v>
      </c>
      <c r="H162" s="29">
        <f t="shared" si="58"/>
        <v>2000000</v>
      </c>
      <c r="I162" s="29">
        <f>SUM(I163:I163)</f>
        <v>2000000</v>
      </c>
      <c r="J162" s="29">
        <f>SUM(J163:J163)</f>
        <v>0</v>
      </c>
      <c r="K162" s="29">
        <f>SUM(K163:K163)</f>
        <v>0</v>
      </c>
      <c r="L162" s="43"/>
      <c r="M162" s="43"/>
      <c r="N162" s="43"/>
      <c r="O162" s="43"/>
      <c r="P162" s="43"/>
      <c r="Q162" s="43"/>
      <c r="R162" s="43"/>
    </row>
    <row r="163" spans="1:18" ht="32.25" customHeight="1" thickBot="1" x14ac:dyDescent="0.25">
      <c r="A163" s="15" t="s">
        <v>24</v>
      </c>
      <c r="B163" s="78" t="s">
        <v>110</v>
      </c>
      <c r="C163" s="221"/>
      <c r="D163" s="293"/>
      <c r="E163" s="178"/>
      <c r="F163" s="176"/>
      <c r="G163" s="178"/>
      <c r="H163" s="13">
        <f t="shared" si="58"/>
        <v>2000000</v>
      </c>
      <c r="I163" s="13">
        <v>2000000</v>
      </c>
      <c r="J163" s="13"/>
      <c r="K163" s="13"/>
      <c r="L163" s="43"/>
      <c r="M163" s="42"/>
      <c r="N163" s="43"/>
      <c r="O163" s="43"/>
      <c r="P163" s="43"/>
      <c r="Q163" s="43"/>
      <c r="R163" s="43"/>
    </row>
    <row r="164" spans="1:18" ht="67.5" customHeight="1" x14ac:dyDescent="0.2">
      <c r="A164" s="110" t="s">
        <v>79</v>
      </c>
      <c r="B164" s="30" t="s">
        <v>49</v>
      </c>
      <c r="C164" s="192" t="s">
        <v>95</v>
      </c>
      <c r="D164" s="202" t="s">
        <v>28</v>
      </c>
      <c r="E164" s="177" t="s">
        <v>101</v>
      </c>
      <c r="F164" s="181"/>
      <c r="G164" s="177" t="s">
        <v>101</v>
      </c>
      <c r="H164" s="29">
        <f t="shared" si="58"/>
        <v>1247793</v>
      </c>
      <c r="I164" s="29">
        <f>SUM(I165:I165)</f>
        <v>1247793</v>
      </c>
      <c r="J164" s="29">
        <f>SUM(J165:J165)</f>
        <v>0</v>
      </c>
      <c r="K164" s="29">
        <f>SUM(K165:K165)</f>
        <v>0</v>
      </c>
      <c r="L164" s="43"/>
      <c r="M164" s="43"/>
      <c r="N164" s="43"/>
      <c r="O164" s="43"/>
      <c r="P164" s="43"/>
      <c r="Q164" s="43"/>
      <c r="R164" s="43"/>
    </row>
    <row r="165" spans="1:18" ht="29.25" customHeight="1" thickBot="1" x14ac:dyDescent="0.25">
      <c r="A165" s="15" t="s">
        <v>24</v>
      </c>
      <c r="B165" s="78" t="s">
        <v>110</v>
      </c>
      <c r="C165" s="221"/>
      <c r="D165" s="293"/>
      <c r="E165" s="178"/>
      <c r="F165" s="176"/>
      <c r="G165" s="178"/>
      <c r="H165" s="13">
        <f t="shared" si="58"/>
        <v>1247793</v>
      </c>
      <c r="I165" s="13">
        <f>2339793-1092000</f>
        <v>1247793</v>
      </c>
      <c r="J165" s="13"/>
      <c r="K165" s="13"/>
      <c r="L165" s="43"/>
      <c r="M165" s="42"/>
      <c r="N165" s="43"/>
      <c r="O165" s="43" t="s">
        <v>108</v>
      </c>
      <c r="P165" s="43"/>
      <c r="Q165" s="43"/>
      <c r="R165" s="43"/>
    </row>
    <row r="166" spans="1:18" ht="42.75" customHeight="1" x14ac:dyDescent="0.2">
      <c r="A166" s="110" t="s">
        <v>81</v>
      </c>
      <c r="B166" s="30" t="s">
        <v>49</v>
      </c>
      <c r="C166" s="192" t="s">
        <v>96</v>
      </c>
      <c r="D166" s="192" t="s">
        <v>80</v>
      </c>
      <c r="E166" s="177" t="s">
        <v>102</v>
      </c>
      <c r="F166" s="181"/>
      <c r="G166" s="177" t="s">
        <v>102</v>
      </c>
      <c r="H166" s="29">
        <f t="shared" si="58"/>
        <v>2058992</v>
      </c>
      <c r="I166" s="29">
        <f>SUM(I167:I167)</f>
        <v>2058992</v>
      </c>
      <c r="J166" s="29">
        <f>SUM(J167:J167)</f>
        <v>0</v>
      </c>
      <c r="K166" s="29">
        <f>SUM(K167:K167)</f>
        <v>0</v>
      </c>
      <c r="L166" s="43"/>
      <c r="M166" s="43"/>
      <c r="N166" s="43"/>
      <c r="O166" s="43"/>
      <c r="P166" s="43"/>
      <c r="Q166" s="43"/>
      <c r="R166" s="43"/>
    </row>
    <row r="167" spans="1:18" ht="26.25" thickBot="1" x14ac:dyDescent="0.25">
      <c r="A167" s="15" t="s">
        <v>24</v>
      </c>
      <c r="B167" s="78" t="s">
        <v>110</v>
      </c>
      <c r="C167" s="173"/>
      <c r="D167" s="12"/>
      <c r="E167" s="100"/>
      <c r="F167" s="13"/>
      <c r="G167" s="25"/>
      <c r="H167" s="13">
        <f t="shared" si="58"/>
        <v>2058992</v>
      </c>
      <c r="I167" s="13">
        <v>2058992</v>
      </c>
      <c r="J167" s="13"/>
      <c r="K167" s="13"/>
      <c r="L167" s="43"/>
      <c r="M167" s="43"/>
      <c r="N167" s="43"/>
      <c r="O167" s="43"/>
      <c r="P167" s="43"/>
      <c r="Q167" s="43"/>
      <c r="R167" s="43"/>
    </row>
    <row r="168" spans="1:18" ht="38.25" x14ac:dyDescent="0.2">
      <c r="A168" s="76" t="s">
        <v>82</v>
      </c>
      <c r="B168" s="36" t="s">
        <v>49</v>
      </c>
      <c r="C168" s="192" t="s">
        <v>98</v>
      </c>
      <c r="D168" s="192" t="s">
        <v>80</v>
      </c>
      <c r="E168" s="177" t="s">
        <v>23</v>
      </c>
      <c r="F168" s="181"/>
      <c r="G168" s="177" t="s">
        <v>23</v>
      </c>
      <c r="H168" s="29">
        <f t="shared" si="58"/>
        <v>2000000</v>
      </c>
      <c r="I168" s="29">
        <f>SUM(I169:I169)</f>
        <v>2000000</v>
      </c>
      <c r="J168" s="29">
        <f>SUM(J169:J169)</f>
        <v>0</v>
      </c>
      <c r="K168" s="29">
        <f>SUM(K169:K169)</f>
        <v>0</v>
      </c>
      <c r="L168" s="43"/>
      <c r="M168" s="43"/>
      <c r="N168" s="43"/>
      <c r="O168" s="43"/>
      <c r="P168" s="43"/>
      <c r="Q168" s="43"/>
      <c r="R168" s="43"/>
    </row>
    <row r="169" spans="1:18" ht="26.25" thickBot="1" x14ac:dyDescent="0.25">
      <c r="A169" s="15" t="s">
        <v>24</v>
      </c>
      <c r="B169" s="78" t="s">
        <v>110</v>
      </c>
      <c r="C169" s="221"/>
      <c r="D169" s="293"/>
      <c r="E169" s="178"/>
      <c r="F169" s="176"/>
      <c r="G169" s="178"/>
      <c r="H169" s="13">
        <f t="shared" si="58"/>
        <v>2000000</v>
      </c>
      <c r="I169" s="13">
        <v>2000000</v>
      </c>
      <c r="J169" s="13"/>
      <c r="K169" s="13"/>
      <c r="L169" s="43"/>
      <c r="M169" s="42"/>
      <c r="N169" s="43"/>
      <c r="O169" s="43"/>
      <c r="P169" s="43"/>
      <c r="Q169" s="43"/>
      <c r="R169" s="43"/>
    </row>
    <row r="170" spans="1:18" ht="69.75" customHeight="1" x14ac:dyDescent="0.2">
      <c r="A170" s="110" t="s">
        <v>188</v>
      </c>
      <c r="B170" s="80" t="s">
        <v>49</v>
      </c>
      <c r="C170" s="192" t="s">
        <v>190</v>
      </c>
      <c r="D170" s="192" t="s">
        <v>80</v>
      </c>
      <c r="E170" s="177" t="s">
        <v>103</v>
      </c>
      <c r="F170" s="181">
        <v>45641</v>
      </c>
      <c r="G170" s="177" t="s">
        <v>256</v>
      </c>
      <c r="H170" s="29">
        <f t="shared" si="58"/>
        <v>1332992</v>
      </c>
      <c r="I170" s="29">
        <f>SUM(I171)</f>
        <v>1332992</v>
      </c>
      <c r="J170" s="29">
        <f>SUM(J171)</f>
        <v>0</v>
      </c>
      <c r="K170" s="29">
        <f>SUM(K171)</f>
        <v>0</v>
      </c>
      <c r="L170" s="43"/>
      <c r="M170" s="43"/>
      <c r="N170" s="43"/>
      <c r="O170" s="43"/>
      <c r="P170" s="43"/>
      <c r="Q170" s="43"/>
      <c r="R170" s="43"/>
    </row>
    <row r="171" spans="1:18" ht="26.25" thickBot="1" x14ac:dyDescent="0.25">
      <c r="A171" s="15" t="s">
        <v>24</v>
      </c>
      <c r="B171" s="78" t="s">
        <v>110</v>
      </c>
      <c r="C171" s="173"/>
      <c r="D171" s="146"/>
      <c r="E171" s="100"/>
      <c r="F171" s="13"/>
      <c r="G171" s="100"/>
      <c r="H171" s="13">
        <f t="shared" si="58"/>
        <v>1332992</v>
      </c>
      <c r="I171" s="13">
        <v>1332992</v>
      </c>
      <c r="J171" s="176"/>
      <c r="K171" s="13"/>
      <c r="L171" s="43"/>
      <c r="M171" s="43"/>
      <c r="N171" s="43"/>
      <c r="O171" s="43"/>
      <c r="P171" s="43"/>
      <c r="Q171" s="43"/>
      <c r="R171" s="43"/>
    </row>
    <row r="172" spans="1:18" ht="69" customHeight="1" x14ac:dyDescent="0.2">
      <c r="A172" s="110" t="s">
        <v>189</v>
      </c>
      <c r="B172" s="80" t="s">
        <v>49</v>
      </c>
      <c r="C172" s="192" t="s">
        <v>191</v>
      </c>
      <c r="D172" s="71" t="s">
        <v>80</v>
      </c>
      <c r="E172" s="177" t="s">
        <v>104</v>
      </c>
      <c r="F172" s="182"/>
      <c r="G172" s="177" t="s">
        <v>104</v>
      </c>
      <c r="H172" s="29">
        <f t="shared" si="58"/>
        <v>1200000</v>
      </c>
      <c r="I172" s="29">
        <f>SUM(I173)</f>
        <v>1200000</v>
      </c>
      <c r="J172" s="29">
        <f>SUM(J173)</f>
        <v>0</v>
      </c>
      <c r="K172" s="29">
        <f>SUM(K173)</f>
        <v>0</v>
      </c>
      <c r="L172" s="43"/>
      <c r="M172" s="43"/>
      <c r="N172" s="43"/>
      <c r="O172" s="43"/>
      <c r="P172" s="43"/>
      <c r="Q172" s="43"/>
      <c r="R172" s="43"/>
    </row>
    <row r="173" spans="1:18" ht="29.25" customHeight="1" thickBot="1" x14ac:dyDescent="0.25">
      <c r="A173" s="65" t="s">
        <v>24</v>
      </c>
      <c r="B173" s="78" t="s">
        <v>110</v>
      </c>
      <c r="C173" s="168"/>
      <c r="D173" s="166"/>
      <c r="E173" s="158"/>
      <c r="F173" s="167"/>
      <c r="G173" s="162"/>
      <c r="H173" s="22">
        <f t="shared" si="58"/>
        <v>1200000</v>
      </c>
      <c r="I173" s="22">
        <v>1200000</v>
      </c>
      <c r="J173" s="22"/>
      <c r="K173" s="22"/>
      <c r="L173" s="43"/>
      <c r="M173" s="42"/>
      <c r="N173" s="43"/>
      <c r="O173" s="43"/>
      <c r="P173" s="43"/>
      <c r="Q173" s="43"/>
      <c r="R173" s="43"/>
    </row>
    <row r="174" spans="1:18" ht="81" customHeight="1" x14ac:dyDescent="0.2">
      <c r="A174" s="169" t="s">
        <v>302</v>
      </c>
      <c r="B174" s="80" t="s">
        <v>49</v>
      </c>
      <c r="C174" s="71" t="s">
        <v>303</v>
      </c>
      <c r="D174" s="216" t="s">
        <v>307</v>
      </c>
      <c r="E174" s="177" t="s">
        <v>304</v>
      </c>
      <c r="F174" s="181">
        <v>341110.44</v>
      </c>
      <c r="G174" s="177" t="s">
        <v>305</v>
      </c>
      <c r="H174" s="29">
        <f t="shared" si="58"/>
        <v>2385265</v>
      </c>
      <c r="I174" s="29">
        <f>SUM(I175)</f>
        <v>2385265</v>
      </c>
      <c r="J174" s="29">
        <f t="shared" ref="J174:K174" si="59">SUM(J175)</f>
        <v>0</v>
      </c>
      <c r="K174" s="29">
        <f t="shared" si="59"/>
        <v>0</v>
      </c>
      <c r="L174" s="43"/>
      <c r="M174" s="42"/>
      <c r="N174" s="43"/>
      <c r="O174" s="43"/>
      <c r="P174" s="43"/>
      <c r="Q174" s="43"/>
      <c r="R174" s="43"/>
    </row>
    <row r="175" spans="1:18" ht="30" customHeight="1" thickBot="1" x14ac:dyDescent="0.25">
      <c r="A175" s="144" t="s">
        <v>24</v>
      </c>
      <c r="B175" s="209" t="s">
        <v>306</v>
      </c>
      <c r="C175" s="107"/>
      <c r="D175" s="345"/>
      <c r="E175" s="100"/>
      <c r="F175" s="70"/>
      <c r="G175" s="100"/>
      <c r="H175" s="13">
        <f t="shared" si="58"/>
        <v>2385265</v>
      </c>
      <c r="I175" s="13">
        <v>2385265</v>
      </c>
      <c r="J175" s="13"/>
      <c r="K175" s="13"/>
      <c r="L175" s="43" t="s">
        <v>311</v>
      </c>
      <c r="M175" s="42"/>
      <c r="N175" s="43"/>
      <c r="O175" s="43"/>
      <c r="P175" s="43"/>
      <c r="Q175" s="43"/>
      <c r="R175" s="43"/>
    </row>
    <row r="176" spans="1:18" ht="95.25" thickBot="1" x14ac:dyDescent="0.25">
      <c r="A176" s="83" t="s">
        <v>265</v>
      </c>
      <c r="B176" s="224"/>
      <c r="C176" s="252"/>
      <c r="D176" s="92"/>
      <c r="E176" s="243"/>
      <c r="F176" s="190"/>
      <c r="G176" s="243"/>
      <c r="H176" s="47">
        <f t="shared" si="58"/>
        <v>24498474.280000001</v>
      </c>
      <c r="I176" s="47">
        <f>I177</f>
        <v>24498474.280000001</v>
      </c>
      <c r="J176" s="47">
        <f>J177</f>
        <v>0</v>
      </c>
      <c r="K176" s="47">
        <f>K177</f>
        <v>0</v>
      </c>
      <c r="L176" s="45"/>
      <c r="N176" s="42"/>
    </row>
    <row r="177" spans="1:14" ht="42" customHeight="1" x14ac:dyDescent="0.2">
      <c r="A177" s="169" t="s">
        <v>115</v>
      </c>
      <c r="B177" s="36" t="s">
        <v>45</v>
      </c>
      <c r="C177" s="31" t="s">
        <v>116</v>
      </c>
      <c r="D177" s="214" t="s">
        <v>139</v>
      </c>
      <c r="E177" s="177">
        <v>31823300</v>
      </c>
      <c r="F177" s="68">
        <v>8306696</v>
      </c>
      <c r="G177" s="177">
        <f>E177-F177</f>
        <v>23516604</v>
      </c>
      <c r="H177" s="29">
        <f t="shared" ref="H177:H206" si="60">I177+J177+K177</f>
        <v>24498474.280000001</v>
      </c>
      <c r="I177" s="29">
        <f>SUM(I178:I180)</f>
        <v>24498474.280000001</v>
      </c>
      <c r="J177" s="29">
        <f>SUM(J178:J180)</f>
        <v>0</v>
      </c>
      <c r="K177" s="29">
        <f>SUM(K178:K180)</f>
        <v>0</v>
      </c>
      <c r="L177" s="45"/>
      <c r="N177" s="42"/>
    </row>
    <row r="178" spans="1:14" ht="29.25" customHeight="1" x14ac:dyDescent="0.2">
      <c r="A178" s="142" t="s">
        <v>239</v>
      </c>
      <c r="B178" s="148" t="s">
        <v>128</v>
      </c>
      <c r="C178" s="41"/>
      <c r="D178" s="335"/>
      <c r="E178" s="194"/>
      <c r="F178" s="69"/>
      <c r="G178" s="194"/>
      <c r="H178" s="8">
        <f t="shared" si="60"/>
        <v>1228474.28</v>
      </c>
      <c r="I178" s="8">
        <f>1008330.84+220143.44</f>
        <v>1228474.28</v>
      </c>
      <c r="J178" s="8"/>
      <c r="K178" s="8"/>
      <c r="L178" s="45"/>
      <c r="N178" s="42"/>
    </row>
    <row r="179" spans="1:14" ht="27.75" customHeight="1" x14ac:dyDescent="0.2">
      <c r="A179" s="142" t="s">
        <v>176</v>
      </c>
      <c r="B179" s="148" t="s">
        <v>127</v>
      </c>
      <c r="C179" s="93"/>
      <c r="D179" s="229"/>
      <c r="E179" s="89"/>
      <c r="F179" s="69"/>
      <c r="G179" s="89"/>
      <c r="H179" s="8">
        <f t="shared" si="60"/>
        <v>4170000</v>
      </c>
      <c r="I179" s="8">
        <v>4170000</v>
      </c>
      <c r="J179" s="8"/>
      <c r="K179" s="8"/>
      <c r="L179" s="45"/>
      <c r="N179" s="42"/>
    </row>
    <row r="180" spans="1:14" ht="32.25" customHeight="1" thickBot="1" x14ac:dyDescent="0.25">
      <c r="A180" s="144" t="s">
        <v>177</v>
      </c>
      <c r="B180" s="209" t="s">
        <v>129</v>
      </c>
      <c r="C180" s="107"/>
      <c r="D180" s="218"/>
      <c r="E180" s="100"/>
      <c r="F180" s="70"/>
      <c r="G180" s="100"/>
      <c r="H180" s="13">
        <f t="shared" si="60"/>
        <v>19100000</v>
      </c>
      <c r="I180" s="13">
        <v>19100000</v>
      </c>
      <c r="J180" s="13"/>
      <c r="K180" s="13"/>
      <c r="L180" s="45"/>
      <c r="N180" s="42"/>
    </row>
    <row r="181" spans="1:14" ht="54.75" thickBot="1" x14ac:dyDescent="0.25">
      <c r="A181" s="46" t="s">
        <v>264</v>
      </c>
      <c r="B181" s="300"/>
      <c r="C181" s="92"/>
      <c r="D181" s="92"/>
      <c r="E181" s="190"/>
      <c r="F181" s="190"/>
      <c r="G181" s="190"/>
      <c r="H181" s="47">
        <f t="shared" si="60"/>
        <v>14817382.59</v>
      </c>
      <c r="I181" s="47">
        <f>I186+I196+I190+I193</f>
        <v>14817382.59</v>
      </c>
      <c r="J181" s="47">
        <f t="shared" ref="J181:K181" si="61">J186+J196</f>
        <v>0</v>
      </c>
      <c r="K181" s="47">
        <f t="shared" si="61"/>
        <v>0</v>
      </c>
      <c r="L181" s="44">
        <f>H182+H186+H190+H196+H193</f>
        <v>14817382.59</v>
      </c>
      <c r="N181" s="42"/>
    </row>
    <row r="182" spans="1:14" ht="76.5" x14ac:dyDescent="0.2">
      <c r="A182" s="169" t="s">
        <v>87</v>
      </c>
      <c r="B182" s="80" t="s">
        <v>45</v>
      </c>
      <c r="C182" s="28" t="s">
        <v>62</v>
      </c>
      <c r="D182" s="198"/>
      <c r="E182" s="177">
        <v>8035070</v>
      </c>
      <c r="F182" s="181">
        <v>4462875.72</v>
      </c>
      <c r="G182" s="177">
        <f>E182-F182</f>
        <v>3572194.2800000003</v>
      </c>
      <c r="H182" s="301">
        <f>I182+J182+K182</f>
        <v>0</v>
      </c>
      <c r="I182" s="301">
        <v>0</v>
      </c>
      <c r="J182" s="301">
        <v>0</v>
      </c>
      <c r="K182" s="301">
        <v>0</v>
      </c>
      <c r="L182" s="44"/>
      <c r="N182" s="42"/>
    </row>
    <row r="183" spans="1:14" ht="38.25" x14ac:dyDescent="0.2">
      <c r="A183" s="9" t="s">
        <v>64</v>
      </c>
      <c r="B183" s="5"/>
      <c r="C183" s="11"/>
      <c r="D183" s="11"/>
      <c r="E183" s="175"/>
      <c r="F183" s="175"/>
      <c r="G183" s="175"/>
      <c r="H183" s="90">
        <f>I183+J183+K183</f>
        <v>76.040000000000006</v>
      </c>
      <c r="I183" s="90">
        <v>76.040000000000006</v>
      </c>
      <c r="J183" s="90"/>
      <c r="K183" s="90"/>
      <c r="L183" s="44"/>
      <c r="N183" s="42"/>
    </row>
    <row r="184" spans="1:14" ht="38.25" x14ac:dyDescent="0.2">
      <c r="A184" s="9" t="s">
        <v>88</v>
      </c>
      <c r="B184" s="5"/>
      <c r="C184" s="11"/>
      <c r="D184" s="11"/>
      <c r="E184" s="175"/>
      <c r="F184" s="175"/>
      <c r="G184" s="175"/>
      <c r="H184" s="90">
        <f>I184+J184+K184</f>
        <v>75.5</v>
      </c>
      <c r="I184" s="90">
        <v>75.5</v>
      </c>
      <c r="J184" s="298"/>
      <c r="K184" s="298"/>
      <c r="L184" s="44"/>
      <c r="N184" s="42"/>
    </row>
    <row r="185" spans="1:14" ht="39" thickBot="1" x14ac:dyDescent="0.25">
      <c r="A185" s="15" t="s">
        <v>89</v>
      </c>
      <c r="B185" s="6"/>
      <c r="C185" s="12"/>
      <c r="D185" s="12"/>
      <c r="E185" s="176"/>
      <c r="F185" s="176"/>
      <c r="G185" s="176"/>
      <c r="H185" s="74">
        <f>I185+J185+K185</f>
        <v>7453.03</v>
      </c>
      <c r="I185" s="74">
        <v>7453.03</v>
      </c>
      <c r="J185" s="74"/>
      <c r="K185" s="74"/>
      <c r="L185" s="44"/>
      <c r="N185" s="42"/>
    </row>
    <row r="186" spans="1:14" ht="83.25" customHeight="1" x14ac:dyDescent="0.2">
      <c r="A186" s="110" t="s">
        <v>109</v>
      </c>
      <c r="B186" s="80" t="s">
        <v>45</v>
      </c>
      <c r="C186" s="28" t="s">
        <v>62</v>
      </c>
      <c r="D186" s="71" t="s">
        <v>80</v>
      </c>
      <c r="E186" s="177">
        <v>10914340</v>
      </c>
      <c r="F186" s="181">
        <v>685680</v>
      </c>
      <c r="G186" s="177">
        <f>E186-F186</f>
        <v>10228660</v>
      </c>
      <c r="H186" s="181">
        <f t="shared" si="60"/>
        <v>10255250.869999999</v>
      </c>
      <c r="I186" s="181">
        <f>SUM(I187:I189)</f>
        <v>10255250.869999999</v>
      </c>
      <c r="J186" s="181">
        <f>SUM(J187:J189)</f>
        <v>0</v>
      </c>
      <c r="K186" s="181">
        <f>SUM(K187:K189)</f>
        <v>0</v>
      </c>
      <c r="N186" s="43"/>
    </row>
    <row r="187" spans="1:14" ht="38.25" x14ac:dyDescent="0.2">
      <c r="A187" s="9" t="s">
        <v>26</v>
      </c>
      <c r="B187" s="148" t="s">
        <v>238</v>
      </c>
      <c r="C187" s="11"/>
      <c r="D187" s="11"/>
      <c r="E187" s="260"/>
      <c r="F187" s="260"/>
      <c r="G187" s="260"/>
      <c r="H187" s="175">
        <f t="shared" si="60"/>
        <v>102552.51</v>
      </c>
      <c r="I187" s="175">
        <v>102552.51</v>
      </c>
      <c r="J187" s="175"/>
      <c r="K187" s="175"/>
      <c r="N187" s="43"/>
    </row>
    <row r="188" spans="1:14" ht="38.25" x14ac:dyDescent="0.2">
      <c r="A188" s="142" t="s">
        <v>27</v>
      </c>
      <c r="B188" s="148" t="s">
        <v>233</v>
      </c>
      <c r="C188" s="11"/>
      <c r="D188" s="11"/>
      <c r="E188" s="260"/>
      <c r="F188" s="260"/>
      <c r="G188" s="260"/>
      <c r="H188" s="175">
        <f t="shared" si="60"/>
        <v>101698.36</v>
      </c>
      <c r="I188" s="175">
        <v>101698.36</v>
      </c>
      <c r="J188" s="175"/>
      <c r="K188" s="175"/>
      <c r="N188" s="43"/>
    </row>
    <row r="189" spans="1:14" ht="39" thickBot="1" x14ac:dyDescent="0.25">
      <c r="A189" s="144" t="s">
        <v>232</v>
      </c>
      <c r="B189" s="209" t="s">
        <v>234</v>
      </c>
      <c r="C189" s="296"/>
      <c r="D189" s="296"/>
      <c r="E189" s="286"/>
      <c r="F189" s="286"/>
      <c r="G189" s="286"/>
      <c r="H189" s="175">
        <f t="shared" si="60"/>
        <v>10051000</v>
      </c>
      <c r="I189" s="321">
        <v>10051000</v>
      </c>
      <c r="J189" s="321"/>
      <c r="K189" s="321"/>
      <c r="N189" s="43"/>
    </row>
    <row r="190" spans="1:14" ht="71.25" customHeight="1" x14ac:dyDescent="0.2">
      <c r="A190" s="110" t="s">
        <v>140</v>
      </c>
      <c r="B190" s="80" t="s">
        <v>45</v>
      </c>
      <c r="C190" s="28" t="s">
        <v>62</v>
      </c>
      <c r="D190" s="216" t="s">
        <v>312</v>
      </c>
      <c r="E190" s="177">
        <f>F190+G190</f>
        <v>10295600</v>
      </c>
      <c r="F190" s="181">
        <v>295600</v>
      </c>
      <c r="G190" s="177">
        <v>10000000</v>
      </c>
      <c r="H190" s="181">
        <f t="shared" ref="H190:H191" si="62">I190+J190+K190</f>
        <v>100000</v>
      </c>
      <c r="I190" s="181">
        <f>SUM(I191)</f>
        <v>100000</v>
      </c>
      <c r="J190" s="181">
        <f t="shared" ref="J190" si="63">SUM(J191)</f>
        <v>0</v>
      </c>
      <c r="K190" s="181">
        <f t="shared" ref="K190" si="64">SUM(K191)</f>
        <v>0</v>
      </c>
      <c r="N190" s="43"/>
    </row>
    <row r="191" spans="1:14" ht="25.5" x14ac:dyDescent="0.2">
      <c r="A191" s="142" t="s">
        <v>308</v>
      </c>
      <c r="B191" s="148" t="s">
        <v>309</v>
      </c>
      <c r="C191" s="296"/>
      <c r="D191" s="271"/>
      <c r="E191" s="343"/>
      <c r="F191" s="321"/>
      <c r="G191" s="343"/>
      <c r="H191" s="175">
        <f t="shared" si="62"/>
        <v>100000</v>
      </c>
      <c r="I191" s="175">
        <v>100000</v>
      </c>
      <c r="J191" s="175"/>
      <c r="K191" s="175"/>
      <c r="L191" s="145" t="s">
        <v>310</v>
      </c>
      <c r="N191" s="43"/>
    </row>
    <row r="192" spans="1:14" ht="39" thickBot="1" x14ac:dyDescent="0.25">
      <c r="A192" s="15" t="s">
        <v>64</v>
      </c>
      <c r="B192" s="6"/>
      <c r="C192" s="12"/>
      <c r="D192" s="165"/>
      <c r="E192" s="176"/>
      <c r="F192" s="176"/>
      <c r="G192" s="176"/>
      <c r="H192" s="302">
        <f t="shared" si="60"/>
        <v>434440</v>
      </c>
      <c r="I192" s="302">
        <v>434440</v>
      </c>
      <c r="J192" s="302"/>
      <c r="K192" s="302"/>
      <c r="N192" s="43"/>
    </row>
    <row r="193" spans="1:14" ht="85.5" customHeight="1" x14ac:dyDescent="0.2">
      <c r="A193" s="76" t="s">
        <v>208</v>
      </c>
      <c r="B193" s="80" t="s">
        <v>45</v>
      </c>
      <c r="C193" s="28" t="s">
        <v>62</v>
      </c>
      <c r="D193" s="216" t="s">
        <v>312</v>
      </c>
      <c r="E193" s="177">
        <f>F193+G193</f>
        <v>12250600</v>
      </c>
      <c r="F193" s="181">
        <v>250600</v>
      </c>
      <c r="G193" s="177">
        <v>12000000</v>
      </c>
      <c r="H193" s="181">
        <f t="shared" si="60"/>
        <v>100000</v>
      </c>
      <c r="I193" s="181">
        <f>SUM(I194)</f>
        <v>100000</v>
      </c>
      <c r="J193" s="181">
        <f t="shared" ref="J193:K193" si="65">SUM(J194)</f>
        <v>0</v>
      </c>
      <c r="K193" s="181">
        <f t="shared" si="65"/>
        <v>0</v>
      </c>
      <c r="N193" s="43"/>
    </row>
    <row r="194" spans="1:14" ht="33" customHeight="1" x14ac:dyDescent="0.2">
      <c r="A194" s="142" t="s">
        <v>308</v>
      </c>
      <c r="B194" s="148" t="s">
        <v>309</v>
      </c>
      <c r="C194" s="11"/>
      <c r="D194" s="263"/>
      <c r="E194" s="194"/>
      <c r="F194" s="175"/>
      <c r="G194" s="194"/>
      <c r="H194" s="175">
        <f t="shared" si="60"/>
        <v>100000</v>
      </c>
      <c r="I194" s="175">
        <v>100000</v>
      </c>
      <c r="J194" s="175"/>
      <c r="K194" s="175"/>
      <c r="L194" s="145" t="s">
        <v>310</v>
      </c>
      <c r="N194" s="43"/>
    </row>
    <row r="195" spans="1:14" ht="39" thickBot="1" x14ac:dyDescent="0.25">
      <c r="A195" s="170" t="s">
        <v>64</v>
      </c>
      <c r="B195" s="235"/>
      <c r="C195" s="215"/>
      <c r="D195" s="166"/>
      <c r="E195" s="276"/>
      <c r="F195" s="276"/>
      <c r="G195" s="276"/>
      <c r="H195" s="303">
        <f t="shared" si="60"/>
        <v>473880</v>
      </c>
      <c r="I195" s="303">
        <v>473880</v>
      </c>
      <c r="J195" s="303"/>
      <c r="K195" s="303"/>
      <c r="N195" s="43"/>
    </row>
    <row r="196" spans="1:14" ht="67.5" customHeight="1" x14ac:dyDescent="0.2">
      <c r="A196" s="110" t="s">
        <v>112</v>
      </c>
      <c r="B196" s="80" t="s">
        <v>45</v>
      </c>
      <c r="C196" s="71" t="s">
        <v>171</v>
      </c>
      <c r="D196" s="216" t="s">
        <v>80</v>
      </c>
      <c r="E196" s="177">
        <v>4362132</v>
      </c>
      <c r="F196" s="181">
        <v>1593000</v>
      </c>
      <c r="G196" s="177">
        <f>E196-F196</f>
        <v>2769132</v>
      </c>
      <c r="H196" s="29">
        <f>I196+J196+K196</f>
        <v>4362131.7200000007</v>
      </c>
      <c r="I196" s="29">
        <f>SUM(I197:I198)</f>
        <v>4362131.7200000007</v>
      </c>
      <c r="J196" s="29">
        <f>SUM(J197:J198)</f>
        <v>0</v>
      </c>
      <c r="K196" s="29">
        <f>SUM(K197:K198)</f>
        <v>0</v>
      </c>
      <c r="N196" s="43"/>
    </row>
    <row r="197" spans="1:14" ht="28.5" customHeight="1" x14ac:dyDescent="0.2">
      <c r="A197" s="213" t="s">
        <v>173</v>
      </c>
      <c r="B197" s="287" t="s">
        <v>172</v>
      </c>
      <c r="C197" s="271"/>
      <c r="D197" s="285"/>
      <c r="E197" s="277"/>
      <c r="F197" s="286"/>
      <c r="G197" s="277"/>
      <c r="H197" s="8">
        <f>I197+J197+K197</f>
        <v>43621.32</v>
      </c>
      <c r="I197" s="289">
        <v>43621.32</v>
      </c>
      <c r="J197" s="289"/>
      <c r="K197" s="289"/>
      <c r="N197" s="43"/>
    </row>
    <row r="198" spans="1:14" ht="29.25" customHeight="1" thickBot="1" x14ac:dyDescent="0.25">
      <c r="A198" s="288" t="s">
        <v>174</v>
      </c>
      <c r="B198" s="209" t="s">
        <v>175</v>
      </c>
      <c r="C198" s="153"/>
      <c r="D198" s="165"/>
      <c r="E198" s="157"/>
      <c r="F198" s="154"/>
      <c r="G198" s="161"/>
      <c r="H198" s="22">
        <f>I198+J198+K198</f>
        <v>4318510.4000000004</v>
      </c>
      <c r="I198" s="13">
        <v>4318510.4000000004</v>
      </c>
      <c r="J198" s="13"/>
      <c r="K198" s="13"/>
      <c r="N198" s="43"/>
    </row>
    <row r="199" spans="1:14" ht="44.25" customHeight="1" thickBot="1" x14ac:dyDescent="0.25">
      <c r="A199" s="10" t="s">
        <v>47</v>
      </c>
      <c r="B199" s="300"/>
      <c r="C199" s="92"/>
      <c r="D199" s="92"/>
      <c r="E199" s="190"/>
      <c r="F199" s="190"/>
      <c r="G199" s="190"/>
      <c r="H199" s="57">
        <f t="shared" si="60"/>
        <v>3111326952.6800003</v>
      </c>
      <c r="I199" s="57">
        <f>I200</f>
        <v>2443998638.4400001</v>
      </c>
      <c r="J199" s="57">
        <f>J200</f>
        <v>667328314.24000001</v>
      </c>
      <c r="K199" s="57">
        <f>K200</f>
        <v>0</v>
      </c>
      <c r="L199" s="44">
        <f>H206+H201</f>
        <v>3111326952.6800003</v>
      </c>
    </row>
    <row r="200" spans="1:14" ht="54" customHeight="1" thickBot="1" x14ac:dyDescent="0.25">
      <c r="A200" s="83" t="s">
        <v>67</v>
      </c>
      <c r="B200" s="300"/>
      <c r="C200" s="92"/>
      <c r="D200" s="92"/>
      <c r="E200" s="190"/>
      <c r="F200" s="190"/>
      <c r="G200" s="190"/>
      <c r="H200" s="47">
        <f>I200+J200+K200</f>
        <v>3111326952.6800003</v>
      </c>
      <c r="I200" s="57">
        <f>I206+I201</f>
        <v>2443998638.4400001</v>
      </c>
      <c r="J200" s="57">
        <f>J206+J201</f>
        <v>667328314.24000001</v>
      </c>
      <c r="K200" s="57">
        <f>K206+K201</f>
        <v>0</v>
      </c>
      <c r="L200" s="44"/>
    </row>
    <row r="201" spans="1:14" ht="42" customHeight="1" thickBot="1" x14ac:dyDescent="0.25">
      <c r="A201" s="10" t="s">
        <v>2</v>
      </c>
      <c r="B201" s="300"/>
      <c r="C201" s="92"/>
      <c r="D201" s="92"/>
      <c r="E201" s="190"/>
      <c r="F201" s="190"/>
      <c r="G201" s="190"/>
      <c r="H201" s="57">
        <f>I201+J201+K201</f>
        <v>856710.34</v>
      </c>
      <c r="I201" s="57">
        <f>I202</f>
        <v>856710.34</v>
      </c>
      <c r="J201" s="57">
        <f>J202</f>
        <v>0</v>
      </c>
      <c r="K201" s="57">
        <f>K202</f>
        <v>0</v>
      </c>
      <c r="L201" s="44"/>
    </row>
    <row r="202" spans="1:14" ht="42" customHeight="1" x14ac:dyDescent="0.2">
      <c r="A202" s="76" t="s">
        <v>21</v>
      </c>
      <c r="B202" s="30" t="s">
        <v>45</v>
      </c>
      <c r="C202" s="28" t="s">
        <v>4</v>
      </c>
      <c r="D202" s="283" t="s">
        <v>50</v>
      </c>
      <c r="E202" s="177">
        <v>424765739.00999999</v>
      </c>
      <c r="F202" s="181">
        <v>168469051.56</v>
      </c>
      <c r="G202" s="177">
        <f>E202-F202</f>
        <v>256296687.44999999</v>
      </c>
      <c r="H202" s="29">
        <f t="shared" si="60"/>
        <v>856710.34</v>
      </c>
      <c r="I202" s="29">
        <f>SUM(I203:I203)</f>
        <v>856710.34</v>
      </c>
      <c r="J202" s="29">
        <f>SUM(J203:J203)</f>
        <v>0</v>
      </c>
      <c r="K202" s="29">
        <f>SUM(K203:K203)</f>
        <v>0</v>
      </c>
      <c r="L202" s="44"/>
    </row>
    <row r="203" spans="1:14" ht="31.5" customHeight="1" x14ac:dyDescent="0.2">
      <c r="A203" s="142" t="s">
        <v>319</v>
      </c>
      <c r="B203" s="148" t="s">
        <v>320</v>
      </c>
      <c r="C203" s="346"/>
      <c r="D203" s="348"/>
      <c r="E203" s="147"/>
      <c r="F203" s="347"/>
      <c r="G203" s="147"/>
      <c r="H203" s="8">
        <f t="shared" si="60"/>
        <v>856710.34</v>
      </c>
      <c r="I203" s="301">
        <v>856710.34</v>
      </c>
      <c r="J203" s="301"/>
      <c r="K203" s="301"/>
      <c r="L203" s="145" t="s">
        <v>321</v>
      </c>
    </row>
    <row r="204" spans="1:14" ht="38.25" x14ac:dyDescent="0.2">
      <c r="A204" s="9" t="s">
        <v>86</v>
      </c>
      <c r="B204" s="256"/>
      <c r="C204" s="164"/>
      <c r="D204" s="164"/>
      <c r="E204" s="260"/>
      <c r="F204" s="260"/>
      <c r="G204" s="260"/>
      <c r="H204" s="90">
        <f t="shared" si="60"/>
        <v>1328261.8</v>
      </c>
      <c r="I204" s="90">
        <v>1328261.8</v>
      </c>
      <c r="J204" s="8"/>
      <c r="K204" s="8"/>
      <c r="L204" s="43"/>
      <c r="M204" s="43"/>
      <c r="N204" s="43"/>
    </row>
    <row r="205" spans="1:14" ht="39" thickBot="1" x14ac:dyDescent="0.25">
      <c r="A205" s="9" t="s">
        <v>209</v>
      </c>
      <c r="B205" s="256"/>
      <c r="C205" s="164"/>
      <c r="D205" s="164"/>
      <c r="E205" s="260"/>
      <c r="F205" s="260"/>
      <c r="G205" s="260"/>
      <c r="H205" s="90">
        <f>I205+J205+K205</f>
        <v>131497918.90000001</v>
      </c>
      <c r="I205" s="90">
        <v>131497918.90000001</v>
      </c>
      <c r="J205" s="8"/>
      <c r="K205" s="8"/>
      <c r="L205" s="43"/>
      <c r="M205" s="43"/>
      <c r="N205" s="43"/>
    </row>
    <row r="206" spans="1:14" ht="21" customHeight="1" thickBot="1" x14ac:dyDescent="0.25">
      <c r="A206" s="323" t="s">
        <v>57</v>
      </c>
      <c r="B206" s="324"/>
      <c r="C206" s="325"/>
      <c r="D206" s="325"/>
      <c r="E206" s="326"/>
      <c r="F206" s="326"/>
      <c r="G206" s="326"/>
      <c r="H206" s="327">
        <f t="shared" si="60"/>
        <v>3110470242.3400002</v>
      </c>
      <c r="I206" s="327">
        <f>I232+I207+I216+I225</f>
        <v>2443141928.0999999</v>
      </c>
      <c r="J206" s="327">
        <f>J232+J207+J216+J225</f>
        <v>667328314.24000001</v>
      </c>
      <c r="K206" s="327">
        <f>K232+K207+K216+K225</f>
        <v>0</v>
      </c>
      <c r="L206" s="3">
        <f>H232+H207+H216+H225</f>
        <v>3110470242.3400002</v>
      </c>
      <c r="M206" s="43"/>
    </row>
    <row r="207" spans="1:14" ht="42.75" customHeight="1" x14ac:dyDescent="0.2">
      <c r="A207" s="110" t="s">
        <v>65</v>
      </c>
      <c r="B207" s="30" t="s">
        <v>45</v>
      </c>
      <c r="C207" s="28" t="s">
        <v>51</v>
      </c>
      <c r="D207" s="28" t="s">
        <v>28</v>
      </c>
      <c r="E207" s="177">
        <v>1131692490</v>
      </c>
      <c r="F207" s="181">
        <v>466428285.13</v>
      </c>
      <c r="G207" s="177">
        <f>E207-F207</f>
        <v>665264204.87</v>
      </c>
      <c r="H207" s="29">
        <f>I207+J207+K207</f>
        <v>684993842.99000001</v>
      </c>
      <c r="I207" s="29">
        <f>SUM(I208:I212)</f>
        <v>684993842.99000001</v>
      </c>
      <c r="J207" s="29">
        <f>SUM(J208:J212)</f>
        <v>0</v>
      </c>
      <c r="K207" s="29">
        <f>SUM(K208:K212)</f>
        <v>0</v>
      </c>
      <c r="L207" s="43"/>
      <c r="M207" s="43"/>
    </row>
    <row r="208" spans="1:14" ht="40.5" customHeight="1" x14ac:dyDescent="0.2">
      <c r="A208" s="142" t="s">
        <v>83</v>
      </c>
      <c r="B208" s="148" t="s">
        <v>267</v>
      </c>
      <c r="C208" s="11"/>
      <c r="D208" s="11"/>
      <c r="E208" s="264"/>
      <c r="F208" s="260"/>
      <c r="G208" s="264"/>
      <c r="H208" s="8">
        <f>I208+J208+K208</f>
        <v>6702344.6699999999</v>
      </c>
      <c r="I208" s="8">
        <v>6702344.6699999999</v>
      </c>
      <c r="J208" s="8"/>
      <c r="K208" s="8"/>
      <c r="L208" s="43"/>
      <c r="M208" s="43"/>
      <c r="N208" s="43"/>
    </row>
    <row r="209" spans="1:14" ht="30.75" customHeight="1" x14ac:dyDescent="0.2">
      <c r="A209" s="142" t="s">
        <v>323</v>
      </c>
      <c r="B209" s="148" t="s">
        <v>324</v>
      </c>
      <c r="C209" s="11"/>
      <c r="D209" s="11"/>
      <c r="E209" s="264"/>
      <c r="F209" s="260"/>
      <c r="G209" s="264"/>
      <c r="H209" s="8">
        <f>I209+J209+K209</f>
        <v>147593.76</v>
      </c>
      <c r="I209" s="8">
        <v>147593.76</v>
      </c>
      <c r="J209" s="8"/>
      <c r="K209" s="8"/>
      <c r="L209" s="43" t="s">
        <v>325</v>
      </c>
      <c r="M209" s="43"/>
      <c r="N209" s="43"/>
    </row>
    <row r="210" spans="1:14" ht="30.75" customHeight="1" x14ac:dyDescent="0.2">
      <c r="A210" s="142" t="s">
        <v>336</v>
      </c>
      <c r="B210" s="148" t="s">
        <v>337</v>
      </c>
      <c r="C210" s="11"/>
      <c r="D210" s="11"/>
      <c r="E210" s="264"/>
      <c r="F210" s="260"/>
      <c r="G210" s="264"/>
      <c r="H210" s="8">
        <f>I210+J210+K210</f>
        <v>14611782.560000001</v>
      </c>
      <c r="I210" s="8">
        <v>14611782.560000001</v>
      </c>
      <c r="J210" s="8"/>
      <c r="K210" s="8"/>
      <c r="L210" s="43" t="s">
        <v>338</v>
      </c>
      <c r="M210" s="43"/>
      <c r="N210" s="43"/>
    </row>
    <row r="211" spans="1:14" ht="42" customHeight="1" x14ac:dyDescent="0.2">
      <c r="A211" s="142" t="s">
        <v>69</v>
      </c>
      <c r="B211" s="148" t="s">
        <v>268</v>
      </c>
      <c r="C211" s="11"/>
      <c r="D211" s="11"/>
      <c r="E211" s="260"/>
      <c r="F211" s="260"/>
      <c r="G211" s="260"/>
      <c r="H211" s="8">
        <f t="shared" ref="H211:H222" si="66">I211+J211+K211</f>
        <v>6635322</v>
      </c>
      <c r="I211" s="8">
        <v>6635322</v>
      </c>
      <c r="J211" s="8"/>
      <c r="K211" s="8"/>
      <c r="L211" s="43"/>
      <c r="M211" s="43"/>
      <c r="N211" s="43"/>
    </row>
    <row r="212" spans="1:14" ht="40.5" customHeight="1" x14ac:dyDescent="0.2">
      <c r="A212" s="142" t="s">
        <v>91</v>
      </c>
      <c r="B212" s="148" t="s">
        <v>269</v>
      </c>
      <c r="C212" s="11"/>
      <c r="D212" s="11"/>
      <c r="E212" s="260"/>
      <c r="F212" s="260"/>
      <c r="G212" s="260"/>
      <c r="H212" s="8">
        <f t="shared" si="66"/>
        <v>656896800</v>
      </c>
      <c r="I212" s="8">
        <v>656896800</v>
      </c>
      <c r="J212" s="8"/>
      <c r="K212" s="8"/>
      <c r="L212" s="43"/>
      <c r="M212" s="45"/>
      <c r="N212" s="43"/>
    </row>
    <row r="213" spans="1:14" ht="38.25" x14ac:dyDescent="0.2">
      <c r="A213" s="9" t="s">
        <v>86</v>
      </c>
      <c r="B213" s="256"/>
      <c r="C213" s="164"/>
      <c r="D213" s="164"/>
      <c r="E213" s="260"/>
      <c r="F213" s="260"/>
      <c r="G213" s="260"/>
      <c r="H213" s="90">
        <f t="shared" si="66"/>
        <v>2997124.08</v>
      </c>
      <c r="I213" s="90">
        <v>2997124.08</v>
      </c>
      <c r="J213" s="8"/>
      <c r="K213" s="8"/>
      <c r="L213" s="43"/>
      <c r="M213" s="45"/>
      <c r="N213" s="43"/>
    </row>
    <row r="214" spans="1:14" ht="38.25" x14ac:dyDescent="0.2">
      <c r="A214" s="9" t="s">
        <v>209</v>
      </c>
      <c r="B214" s="256"/>
      <c r="C214" s="164"/>
      <c r="D214" s="164"/>
      <c r="E214" s="260"/>
      <c r="F214" s="260"/>
      <c r="G214" s="260"/>
      <c r="H214" s="90">
        <f>I214+J214+K214</f>
        <v>261761545.94</v>
      </c>
      <c r="I214" s="90">
        <v>261761545.94</v>
      </c>
      <c r="J214" s="8"/>
      <c r="K214" s="8"/>
      <c r="L214" s="43"/>
      <c r="M214" s="45"/>
      <c r="N214" s="43"/>
    </row>
    <row r="215" spans="1:14" ht="39" thickBot="1" x14ac:dyDescent="0.25">
      <c r="A215" s="15" t="s">
        <v>210</v>
      </c>
      <c r="B215" s="152"/>
      <c r="C215" s="165"/>
      <c r="D215" s="165"/>
      <c r="E215" s="195"/>
      <c r="F215" s="195"/>
      <c r="G215" s="195"/>
      <c r="H215" s="74">
        <f>I215</f>
        <v>34953738.109999999</v>
      </c>
      <c r="I215" s="74">
        <v>34953738.109999999</v>
      </c>
      <c r="J215" s="13"/>
      <c r="K215" s="13"/>
      <c r="L215" s="43"/>
      <c r="M215" s="45"/>
      <c r="N215" s="43"/>
    </row>
    <row r="216" spans="1:14" ht="33" customHeight="1" x14ac:dyDescent="0.2">
      <c r="A216" s="110" t="s">
        <v>1</v>
      </c>
      <c r="B216" s="30" t="s">
        <v>45</v>
      </c>
      <c r="C216" s="28" t="s">
        <v>51</v>
      </c>
      <c r="D216" s="28" t="s">
        <v>28</v>
      </c>
      <c r="E216" s="181">
        <v>1494427180</v>
      </c>
      <c r="F216" s="181">
        <v>111054328.06</v>
      </c>
      <c r="G216" s="181">
        <f>E216-F216</f>
        <v>1383372851.9400001</v>
      </c>
      <c r="H216" s="29">
        <f t="shared" si="66"/>
        <v>702551690.16999996</v>
      </c>
      <c r="I216" s="29">
        <f>SUM(I217:I221)</f>
        <v>702551690.16999996</v>
      </c>
      <c r="J216" s="29">
        <f>SUM(J217:J221)</f>
        <v>0</v>
      </c>
      <c r="K216" s="29">
        <f>SUM(K217:K221)</f>
        <v>0</v>
      </c>
      <c r="L216" s="43"/>
      <c r="M216" s="43"/>
    </row>
    <row r="217" spans="1:14" ht="38.25" x14ac:dyDescent="0.2">
      <c r="A217" s="142" t="s">
        <v>61</v>
      </c>
      <c r="B217" s="148" t="s">
        <v>271</v>
      </c>
      <c r="C217" s="193"/>
      <c r="D217" s="193"/>
      <c r="E217" s="175"/>
      <c r="F217" s="175"/>
      <c r="G217" s="175"/>
      <c r="H217" s="175">
        <f t="shared" si="66"/>
        <v>5156802.0599999996</v>
      </c>
      <c r="I217" s="175">
        <f>5191180.72-34378.66</f>
        <v>5156802.0599999996</v>
      </c>
      <c r="J217" s="8"/>
      <c r="K217" s="8"/>
      <c r="L217" s="43"/>
      <c r="M217" s="43"/>
      <c r="N217" s="43"/>
    </row>
    <row r="218" spans="1:14" ht="33.75" customHeight="1" x14ac:dyDescent="0.2">
      <c r="A218" s="142" t="s">
        <v>240</v>
      </c>
      <c r="B218" s="148" t="s">
        <v>133</v>
      </c>
      <c r="C218" s="193"/>
      <c r="D218" s="193"/>
      <c r="E218" s="175"/>
      <c r="F218" s="175"/>
      <c r="G218" s="175"/>
      <c r="H218" s="175">
        <f t="shared" si="66"/>
        <v>2220947.2999999998</v>
      </c>
      <c r="I218" s="175">
        <f>538598.99+34378.66+1292179.29+355790.36</f>
        <v>2220947.2999999998</v>
      </c>
      <c r="J218" s="8"/>
      <c r="K218" s="8"/>
      <c r="L218" s="43" t="s">
        <v>328</v>
      </c>
      <c r="M218" s="43"/>
      <c r="N218" s="43"/>
    </row>
    <row r="219" spans="1:14" ht="38.25" x14ac:dyDescent="0.2">
      <c r="A219" s="142" t="s">
        <v>136</v>
      </c>
      <c r="B219" s="148" t="s">
        <v>272</v>
      </c>
      <c r="C219" s="193"/>
      <c r="D219" s="193"/>
      <c r="E219" s="175"/>
      <c r="F219" s="175"/>
      <c r="G219" s="175"/>
      <c r="H219" s="175">
        <f t="shared" si="66"/>
        <v>30631404.260000002</v>
      </c>
      <c r="I219" s="175">
        <f>34034891.49-3403487.23</f>
        <v>30631404.260000002</v>
      </c>
      <c r="J219" s="8"/>
      <c r="K219" s="8"/>
      <c r="L219" s="43"/>
      <c r="M219" s="43"/>
      <c r="N219" s="43"/>
    </row>
    <row r="220" spans="1:14" ht="29.25" customHeight="1" x14ac:dyDescent="0.2">
      <c r="A220" s="142" t="s">
        <v>241</v>
      </c>
      <c r="B220" s="148" t="s">
        <v>132</v>
      </c>
      <c r="C220" s="193"/>
      <c r="D220" s="193"/>
      <c r="E220" s="175"/>
      <c r="F220" s="175"/>
      <c r="G220" s="175"/>
      <c r="H220" s="175">
        <f t="shared" si="66"/>
        <v>184650536.54999998</v>
      </c>
      <c r="I220" s="175">
        <f>53321300+3403487.23+127925749.32</f>
        <v>184650536.54999998</v>
      </c>
      <c r="J220" s="8"/>
      <c r="K220" s="8"/>
      <c r="L220" s="43" t="s">
        <v>340</v>
      </c>
      <c r="M220" s="43"/>
      <c r="N220" s="43"/>
    </row>
    <row r="221" spans="1:14" ht="38.25" x14ac:dyDescent="0.2">
      <c r="A221" s="142" t="s">
        <v>242</v>
      </c>
      <c r="B221" s="148" t="s">
        <v>273</v>
      </c>
      <c r="C221" s="193"/>
      <c r="D221" s="193"/>
      <c r="E221" s="175"/>
      <c r="F221" s="175"/>
      <c r="G221" s="175"/>
      <c r="H221" s="175">
        <f t="shared" si="66"/>
        <v>479892000</v>
      </c>
      <c r="I221" s="175">
        <v>479892000</v>
      </c>
      <c r="J221" s="151"/>
      <c r="K221" s="151"/>
      <c r="L221" s="43"/>
      <c r="M221" s="145"/>
      <c r="N221" s="145"/>
    </row>
    <row r="222" spans="1:14" ht="38.25" x14ac:dyDescent="0.2">
      <c r="A222" s="9" t="s">
        <v>86</v>
      </c>
      <c r="B222" s="148"/>
      <c r="C222" s="164"/>
      <c r="D222" s="164"/>
      <c r="E222" s="260"/>
      <c r="F222" s="260"/>
      <c r="G222" s="260"/>
      <c r="H222" s="90">
        <f t="shared" si="66"/>
        <v>6022703.0099999998</v>
      </c>
      <c r="I222" s="90">
        <v>6022703.0099999998</v>
      </c>
      <c r="J222" s="151"/>
      <c r="K222" s="151"/>
      <c r="L222" s="43"/>
      <c r="M222" s="145"/>
      <c r="N222" s="145"/>
    </row>
    <row r="223" spans="1:14" ht="38.25" x14ac:dyDescent="0.2">
      <c r="A223" s="9" t="s">
        <v>209</v>
      </c>
      <c r="B223" s="148"/>
      <c r="C223" s="164"/>
      <c r="D223" s="164"/>
      <c r="E223" s="260"/>
      <c r="F223" s="260"/>
      <c r="G223" s="260"/>
      <c r="H223" s="90">
        <f>I223+J223+K223</f>
        <v>357765813.16000003</v>
      </c>
      <c r="I223" s="90">
        <v>357765813.16000003</v>
      </c>
      <c r="J223" s="151"/>
      <c r="K223" s="151"/>
      <c r="L223" s="43"/>
      <c r="M223" s="145"/>
      <c r="N223" s="145"/>
    </row>
    <row r="224" spans="1:14" ht="39" thickBot="1" x14ac:dyDescent="0.25">
      <c r="A224" s="15" t="s">
        <v>210</v>
      </c>
      <c r="B224" s="209"/>
      <c r="C224" s="165"/>
      <c r="D224" s="165"/>
      <c r="E224" s="195"/>
      <c r="F224" s="195"/>
      <c r="G224" s="195"/>
      <c r="H224" s="74">
        <f>I224</f>
        <v>238481784.69999999</v>
      </c>
      <c r="I224" s="74">
        <v>238481784.69999999</v>
      </c>
      <c r="J224" s="154"/>
      <c r="K224" s="154"/>
      <c r="L224" s="43"/>
      <c r="M224" s="145"/>
      <c r="N224" s="145"/>
    </row>
    <row r="225" spans="1:14" ht="54" customHeight="1" x14ac:dyDescent="0.2">
      <c r="A225" s="169" t="s">
        <v>149</v>
      </c>
      <c r="B225" s="174" t="s">
        <v>45</v>
      </c>
      <c r="C225" s="198" t="s">
        <v>51</v>
      </c>
      <c r="D225" s="198" t="s">
        <v>73</v>
      </c>
      <c r="E225" s="181">
        <v>1756465656.5599999</v>
      </c>
      <c r="F225" s="181">
        <v>1285970</v>
      </c>
      <c r="G225" s="181">
        <f>E225-F225</f>
        <v>1755179686.5599999</v>
      </c>
      <c r="H225" s="29">
        <f t="shared" ref="H225:H230" si="67">I225+J225+K225</f>
        <v>1435655586.97</v>
      </c>
      <c r="I225" s="181">
        <f>SUM(I226:I229)</f>
        <v>768327272.73000002</v>
      </c>
      <c r="J225" s="181">
        <f>SUM(J226:J229)</f>
        <v>667328314.24000001</v>
      </c>
      <c r="K225" s="181">
        <f>SUM(K226:K229)</f>
        <v>0</v>
      </c>
      <c r="L225" s="43"/>
      <c r="M225" s="145"/>
      <c r="N225" s="145"/>
    </row>
    <row r="226" spans="1:14" ht="29.25" customHeight="1" x14ac:dyDescent="0.2">
      <c r="A226" s="142" t="s">
        <v>198</v>
      </c>
      <c r="B226" s="148" t="s">
        <v>74</v>
      </c>
      <c r="C226" s="164"/>
      <c r="D226" s="164"/>
      <c r="E226" s="260"/>
      <c r="F226" s="260"/>
      <c r="G226" s="260"/>
      <c r="H226" s="8">
        <f t="shared" si="67"/>
        <v>3423353.85</v>
      </c>
      <c r="I226" s="175">
        <v>1800575.76</v>
      </c>
      <c r="J226" s="175">
        <v>1622778.09</v>
      </c>
      <c r="K226" s="175"/>
      <c r="L226" s="43"/>
      <c r="M226" s="43"/>
      <c r="N226" s="145"/>
    </row>
    <row r="227" spans="1:14" ht="30.75" customHeight="1" x14ac:dyDescent="0.2">
      <c r="A227" s="142" t="s">
        <v>196</v>
      </c>
      <c r="B227" s="148" t="s">
        <v>235</v>
      </c>
      <c r="C227" s="251"/>
      <c r="D227" s="251"/>
      <c r="E227" s="260"/>
      <c r="F227" s="260"/>
      <c r="G227" s="260"/>
      <c r="H227" s="175">
        <f t="shared" si="67"/>
        <v>10933202.02</v>
      </c>
      <c r="I227" s="175">
        <v>5882696.9699999997</v>
      </c>
      <c r="J227" s="175">
        <v>5050505.05</v>
      </c>
      <c r="K227" s="175"/>
      <c r="L227" s="43"/>
      <c r="M227" s="145"/>
      <c r="N227" s="145"/>
    </row>
    <row r="228" spans="1:14" ht="30.75" customHeight="1" x14ac:dyDescent="0.2">
      <c r="A228" s="142" t="s">
        <v>195</v>
      </c>
      <c r="B228" s="148" t="s">
        <v>75</v>
      </c>
      <c r="C228" s="164"/>
      <c r="D228" s="164"/>
      <c r="E228" s="260"/>
      <c r="F228" s="260"/>
      <c r="G228" s="260"/>
      <c r="H228" s="8">
        <f t="shared" si="67"/>
        <v>338912031.10000002</v>
      </c>
      <c r="I228" s="175">
        <v>178257000</v>
      </c>
      <c r="J228" s="175">
        <v>160655031.09999999</v>
      </c>
      <c r="K228" s="175"/>
      <c r="L228" s="43"/>
      <c r="M228" s="145"/>
      <c r="N228" s="145"/>
    </row>
    <row r="229" spans="1:14" ht="30" customHeight="1" x14ac:dyDescent="0.2">
      <c r="A229" s="207" t="s">
        <v>197</v>
      </c>
      <c r="B229" s="208" t="s">
        <v>192</v>
      </c>
      <c r="C229" s="304"/>
      <c r="D229" s="304"/>
      <c r="E229" s="281"/>
      <c r="F229" s="281"/>
      <c r="G229" s="281"/>
      <c r="H229" s="14">
        <f t="shared" si="67"/>
        <v>1082387000</v>
      </c>
      <c r="I229" s="197">
        <v>582387000</v>
      </c>
      <c r="J229" s="197">
        <v>500000000</v>
      </c>
      <c r="K229" s="197"/>
      <c r="L229" s="43"/>
      <c r="M229" s="145"/>
      <c r="N229" s="145"/>
    </row>
    <row r="230" spans="1:14" ht="38.25" x14ac:dyDescent="0.2">
      <c r="A230" s="9" t="s">
        <v>86</v>
      </c>
      <c r="B230" s="148"/>
      <c r="C230" s="164"/>
      <c r="D230" s="164"/>
      <c r="E230" s="260"/>
      <c r="F230" s="260"/>
      <c r="G230" s="260"/>
      <c r="H230" s="90">
        <f t="shared" si="67"/>
        <v>3020733.33</v>
      </c>
      <c r="I230" s="305">
        <v>3020733.33</v>
      </c>
      <c r="J230" s="175"/>
      <c r="K230" s="175"/>
      <c r="L230" s="43"/>
      <c r="M230" s="145"/>
      <c r="N230" s="145"/>
    </row>
    <row r="231" spans="1:14" ht="39" thickBot="1" x14ac:dyDescent="0.25">
      <c r="A231" s="15" t="s">
        <v>209</v>
      </c>
      <c r="B231" s="209"/>
      <c r="C231" s="165"/>
      <c r="D231" s="165"/>
      <c r="E231" s="195"/>
      <c r="F231" s="195"/>
      <c r="G231" s="195"/>
      <c r="H231" s="74">
        <f>I231</f>
        <v>299052599.69999999</v>
      </c>
      <c r="I231" s="302">
        <v>299052599.69999999</v>
      </c>
      <c r="J231" s="176"/>
      <c r="K231" s="176"/>
      <c r="L231" s="43"/>
      <c r="M231" s="145"/>
      <c r="N231" s="145"/>
    </row>
    <row r="232" spans="1:14" ht="69" customHeight="1" x14ac:dyDescent="0.2">
      <c r="A232" s="169" t="s">
        <v>121</v>
      </c>
      <c r="B232" s="30" t="s">
        <v>122</v>
      </c>
      <c r="C232" s="198" t="s">
        <v>299</v>
      </c>
      <c r="D232" s="31" t="s">
        <v>123</v>
      </c>
      <c r="E232" s="181">
        <v>348334790</v>
      </c>
      <c r="F232" s="181">
        <v>3342952</v>
      </c>
      <c r="G232" s="181">
        <f>E232-F232</f>
        <v>344991838</v>
      </c>
      <c r="H232" s="29">
        <f>SUM(I232:K232)</f>
        <v>287269122.21000004</v>
      </c>
      <c r="I232" s="181">
        <f>SUM(I233:I234)</f>
        <v>287269122.21000004</v>
      </c>
      <c r="J232" s="181">
        <f>SUM(J233:J234)</f>
        <v>0</v>
      </c>
      <c r="K232" s="181">
        <f>SUM(K233:K234)</f>
        <v>0</v>
      </c>
      <c r="L232" s="43"/>
      <c r="M232" s="145"/>
      <c r="N232" s="145"/>
    </row>
    <row r="233" spans="1:14" ht="29.25" customHeight="1" x14ac:dyDescent="0.2">
      <c r="A233" s="142" t="s">
        <v>199</v>
      </c>
      <c r="B233" s="148" t="s">
        <v>135</v>
      </c>
      <c r="C233" s="11"/>
      <c r="D233" s="11"/>
      <c r="E233" s="175"/>
      <c r="F233" s="175"/>
      <c r="G233" s="175"/>
      <c r="H233" s="8">
        <f>SUM(I233:K233)</f>
        <v>8590386.7899999991</v>
      </c>
      <c r="I233" s="175">
        <f>1491956.92+6893421.05+205008.82</f>
        <v>8590386.7899999991</v>
      </c>
      <c r="J233" s="175"/>
      <c r="K233" s="175"/>
      <c r="L233" s="145" t="s">
        <v>327</v>
      </c>
      <c r="M233" s="145"/>
    </row>
    <row r="234" spans="1:14" ht="28.5" customHeight="1" x14ac:dyDescent="0.2">
      <c r="A234" s="142" t="s">
        <v>200</v>
      </c>
      <c r="B234" s="148" t="s">
        <v>134</v>
      </c>
      <c r="C234" s="11"/>
      <c r="D234" s="11"/>
      <c r="E234" s="175"/>
      <c r="F234" s="175"/>
      <c r="G234" s="175"/>
      <c r="H234" s="8">
        <f>SUM(I234:K234)</f>
        <v>278678735.42000002</v>
      </c>
      <c r="I234" s="175">
        <f>147703735.43+130974999.99</f>
        <v>278678735.42000002</v>
      </c>
      <c r="J234" s="175"/>
      <c r="K234" s="175"/>
      <c r="L234" s="145" t="s">
        <v>341</v>
      </c>
      <c r="M234" s="145"/>
    </row>
    <row r="235" spans="1:14" ht="38.25" x14ac:dyDescent="0.2">
      <c r="A235" s="9" t="s">
        <v>86</v>
      </c>
      <c r="B235" s="148"/>
      <c r="C235" s="193"/>
      <c r="D235" s="193"/>
      <c r="E235" s="175"/>
      <c r="F235" s="175"/>
      <c r="G235" s="175"/>
      <c r="H235" s="90">
        <f>I235+J235+K235</f>
        <v>192897.77</v>
      </c>
      <c r="I235" s="305">
        <v>192897.77</v>
      </c>
      <c r="J235" s="175"/>
      <c r="K235" s="175"/>
      <c r="L235" s="145"/>
      <c r="M235" s="145"/>
    </row>
    <row r="236" spans="1:14" ht="39" thickBot="1" x14ac:dyDescent="0.25">
      <c r="A236" s="15" t="s">
        <v>209</v>
      </c>
      <c r="B236" s="209"/>
      <c r="C236" s="293"/>
      <c r="D236" s="293"/>
      <c r="E236" s="176"/>
      <c r="F236" s="176"/>
      <c r="G236" s="176"/>
      <c r="H236" s="74">
        <f>I236</f>
        <v>3665057.92</v>
      </c>
      <c r="I236" s="302">
        <v>3665057.92</v>
      </c>
      <c r="J236" s="176"/>
      <c r="K236" s="176"/>
      <c r="L236" s="145"/>
      <c r="M236" s="145"/>
    </row>
    <row r="237" spans="1:14" ht="53.25" customHeight="1" thickBot="1" x14ac:dyDescent="0.25">
      <c r="A237" s="10" t="s">
        <v>117</v>
      </c>
      <c r="B237" s="219"/>
      <c r="C237" s="215"/>
      <c r="D237" s="215"/>
      <c r="E237" s="276"/>
      <c r="F237" s="276"/>
      <c r="G237" s="276"/>
      <c r="H237" s="332">
        <f>I237+J237+K237</f>
        <v>117460074</v>
      </c>
      <c r="I237" s="332">
        <f t="shared" ref="I237:K238" si="68">I238</f>
        <v>117460074</v>
      </c>
      <c r="J237" s="332">
        <f t="shared" si="68"/>
        <v>0</v>
      </c>
      <c r="K237" s="332">
        <f t="shared" si="68"/>
        <v>0</v>
      </c>
      <c r="L237" s="43"/>
      <c r="M237" s="145"/>
      <c r="N237" s="145"/>
    </row>
    <row r="238" spans="1:14" ht="32.25" customHeight="1" thickBot="1" x14ac:dyDescent="0.25">
      <c r="A238" s="46" t="s">
        <v>118</v>
      </c>
      <c r="B238" s="220"/>
      <c r="C238" s="92"/>
      <c r="D238" s="92"/>
      <c r="E238" s="284"/>
      <c r="F238" s="284"/>
      <c r="G238" s="284"/>
      <c r="H238" s="47">
        <f>I238+J238+K238</f>
        <v>117460074</v>
      </c>
      <c r="I238" s="47">
        <f t="shared" si="68"/>
        <v>117460074</v>
      </c>
      <c r="J238" s="47">
        <f t="shared" si="68"/>
        <v>0</v>
      </c>
      <c r="K238" s="47">
        <f t="shared" si="68"/>
        <v>0</v>
      </c>
      <c r="L238" s="43"/>
      <c r="M238" s="145"/>
      <c r="N238" s="145"/>
    </row>
    <row r="239" spans="1:14" ht="69" customHeight="1" x14ac:dyDescent="0.2">
      <c r="A239" s="76" t="s">
        <v>398</v>
      </c>
      <c r="B239" s="30" t="s">
        <v>59</v>
      </c>
      <c r="C239" s="31" t="s">
        <v>150</v>
      </c>
      <c r="D239" s="28" t="s">
        <v>28</v>
      </c>
      <c r="E239" s="177">
        <v>138102102</v>
      </c>
      <c r="F239" s="181">
        <v>17305761.73</v>
      </c>
      <c r="G239" s="177">
        <f>E239-F239</f>
        <v>120796340.27</v>
      </c>
      <c r="H239" s="29">
        <f>SUM(I239:K239)</f>
        <v>117460074</v>
      </c>
      <c r="I239" s="29">
        <f>SUM(I240:I243)</f>
        <v>117460074</v>
      </c>
      <c r="J239" s="29">
        <f>SUM(J241:J243)</f>
        <v>0</v>
      </c>
      <c r="K239" s="29">
        <f>SUM(K241:K243)</f>
        <v>0</v>
      </c>
      <c r="L239" s="43"/>
      <c r="M239" s="145"/>
      <c r="N239" s="145"/>
    </row>
    <row r="240" spans="1:14" ht="30" customHeight="1" x14ac:dyDescent="0.2">
      <c r="A240" s="142" t="s">
        <v>317</v>
      </c>
      <c r="B240" s="148" t="s">
        <v>110</v>
      </c>
      <c r="C240" s="242"/>
      <c r="D240" s="346"/>
      <c r="E240" s="147"/>
      <c r="F240" s="347"/>
      <c r="G240" s="147"/>
      <c r="H240" s="8">
        <f>SUM(I240:K240)</f>
        <v>374000</v>
      </c>
      <c r="I240" s="301">
        <v>374000</v>
      </c>
      <c r="J240" s="301"/>
      <c r="K240" s="301"/>
      <c r="L240" s="43" t="s">
        <v>318</v>
      </c>
      <c r="M240" s="145"/>
      <c r="N240" s="145"/>
    </row>
    <row r="241" spans="1:17" ht="38.25" x14ac:dyDescent="0.2">
      <c r="A241" s="142" t="s">
        <v>119</v>
      </c>
      <c r="B241" s="148" t="s">
        <v>277</v>
      </c>
      <c r="C241" s="11"/>
      <c r="D241" s="11"/>
      <c r="E241" s="151"/>
      <c r="F241" s="151"/>
      <c r="G241" s="151"/>
      <c r="H241" s="8">
        <f>SUM(I241:K241)</f>
        <v>1170861</v>
      </c>
      <c r="I241" s="8">
        <v>1170861</v>
      </c>
      <c r="J241" s="8"/>
      <c r="K241" s="8"/>
      <c r="L241" s="43"/>
      <c r="M241" s="145"/>
      <c r="N241" s="145"/>
    </row>
    <row r="242" spans="1:17" ht="38.25" x14ac:dyDescent="0.2">
      <c r="A242" s="142" t="s">
        <v>244</v>
      </c>
      <c r="B242" s="148" t="s">
        <v>278</v>
      </c>
      <c r="C242" s="11"/>
      <c r="D242" s="11"/>
      <c r="E242" s="151"/>
      <c r="F242" s="151"/>
      <c r="G242" s="151"/>
      <c r="H242" s="8">
        <f>SUM(I242:K242)</f>
        <v>6954913</v>
      </c>
      <c r="I242" s="175">
        <v>6954913</v>
      </c>
      <c r="J242" s="8"/>
      <c r="K242" s="8"/>
      <c r="L242" s="43"/>
      <c r="M242" s="145"/>
      <c r="N242" s="145"/>
    </row>
    <row r="243" spans="1:17" ht="38.25" x14ac:dyDescent="0.2">
      <c r="A243" s="142" t="s">
        <v>280</v>
      </c>
      <c r="B243" s="148" t="s">
        <v>279</v>
      </c>
      <c r="C243" s="11"/>
      <c r="D243" s="11"/>
      <c r="E243" s="151"/>
      <c r="F243" s="151"/>
      <c r="G243" s="151"/>
      <c r="H243" s="8">
        <f>SUM(I243:K243)</f>
        <v>108960300</v>
      </c>
      <c r="I243" s="175">
        <v>108960300</v>
      </c>
      <c r="J243" s="8"/>
      <c r="K243" s="8"/>
      <c r="L243" s="43"/>
      <c r="M243" s="145"/>
      <c r="N243" s="145"/>
    </row>
    <row r="244" spans="1:17" ht="38.25" x14ac:dyDescent="0.2">
      <c r="A244" s="9" t="s">
        <v>86</v>
      </c>
      <c r="B244" s="257"/>
      <c r="C244" s="11"/>
      <c r="D244" s="11"/>
      <c r="E244" s="151"/>
      <c r="F244" s="151"/>
      <c r="G244" s="151"/>
      <c r="H244" s="90">
        <f>I244+J244+K244</f>
        <v>41453.5</v>
      </c>
      <c r="I244" s="90">
        <v>41453.5</v>
      </c>
      <c r="J244" s="8"/>
      <c r="K244" s="8"/>
      <c r="L244" s="43"/>
      <c r="M244" s="145"/>
      <c r="N244" s="145"/>
    </row>
    <row r="245" spans="1:17" ht="38.25" x14ac:dyDescent="0.2">
      <c r="A245" s="9" t="s">
        <v>209</v>
      </c>
      <c r="B245" s="257"/>
      <c r="C245" s="11"/>
      <c r="D245" s="11"/>
      <c r="E245" s="151"/>
      <c r="F245" s="151"/>
      <c r="G245" s="151"/>
      <c r="H245" s="90">
        <f>I245+J245+K245</f>
        <v>246229.45</v>
      </c>
      <c r="I245" s="90">
        <v>246229.45</v>
      </c>
      <c r="J245" s="8"/>
      <c r="K245" s="8"/>
      <c r="L245" s="43"/>
      <c r="M245" s="145"/>
      <c r="N245" s="145"/>
    </row>
    <row r="246" spans="1:17" ht="39" thickBot="1" x14ac:dyDescent="0.25">
      <c r="A246" s="15" t="s">
        <v>210</v>
      </c>
      <c r="B246" s="258"/>
      <c r="C246" s="12"/>
      <c r="D246" s="12"/>
      <c r="E246" s="154"/>
      <c r="F246" s="154"/>
      <c r="G246" s="154"/>
      <c r="H246" s="74">
        <f>I246</f>
        <v>3857583.32</v>
      </c>
      <c r="I246" s="74">
        <v>3857583.32</v>
      </c>
      <c r="J246" s="13"/>
      <c r="K246" s="13"/>
      <c r="L246" s="43"/>
      <c r="M246" s="145"/>
      <c r="N246" s="145"/>
    </row>
    <row r="247" spans="1:17" ht="44.25" customHeight="1" thickBot="1" x14ac:dyDescent="0.25">
      <c r="A247" s="10" t="s">
        <v>68</v>
      </c>
      <c r="B247" s="91"/>
      <c r="C247" s="92"/>
      <c r="D247" s="92"/>
      <c r="E247" s="51"/>
      <c r="F247" s="51"/>
      <c r="G247" s="51"/>
      <c r="H247" s="57">
        <f t="shared" ref="H247:H253" si="69">I247+J247+K247</f>
        <v>411364887.12999994</v>
      </c>
      <c r="I247" s="57">
        <f t="shared" ref="I247:K248" si="70">I248</f>
        <v>290152765.91999996</v>
      </c>
      <c r="J247" s="57">
        <f t="shared" si="70"/>
        <v>121212121.20999999</v>
      </c>
      <c r="K247" s="57">
        <f t="shared" si="70"/>
        <v>0</v>
      </c>
      <c r="L247" s="44">
        <f>H249</f>
        <v>411364887.12999994</v>
      </c>
      <c r="M247" s="43"/>
    </row>
    <row r="248" spans="1:17" ht="23.25" customHeight="1" thickBot="1" x14ac:dyDescent="0.25">
      <c r="A248" s="83" t="s">
        <v>22</v>
      </c>
      <c r="B248" s="91"/>
      <c r="C248" s="92"/>
      <c r="D248" s="92"/>
      <c r="E248" s="51"/>
      <c r="F248" s="51"/>
      <c r="G248" s="51"/>
      <c r="H248" s="47">
        <f t="shared" si="69"/>
        <v>411364887.12999994</v>
      </c>
      <c r="I248" s="47">
        <f>I249</f>
        <v>290152765.91999996</v>
      </c>
      <c r="J248" s="47">
        <f t="shared" si="70"/>
        <v>121212121.20999999</v>
      </c>
      <c r="K248" s="47">
        <f t="shared" si="70"/>
        <v>0</v>
      </c>
      <c r="L248" s="44"/>
      <c r="M248" s="43"/>
    </row>
    <row r="249" spans="1:17" ht="42" customHeight="1" x14ac:dyDescent="0.2">
      <c r="A249" s="169" t="s">
        <v>18</v>
      </c>
      <c r="B249" s="171" t="s">
        <v>45</v>
      </c>
      <c r="C249" s="28" t="s">
        <v>3</v>
      </c>
      <c r="D249" s="28" t="s">
        <v>73</v>
      </c>
      <c r="E249" s="35">
        <v>494389398.38</v>
      </c>
      <c r="F249" s="181">
        <v>1051460</v>
      </c>
      <c r="G249" s="177">
        <f>E249-F249</f>
        <v>493337938.38</v>
      </c>
      <c r="H249" s="29">
        <f t="shared" si="69"/>
        <v>411364887.12999994</v>
      </c>
      <c r="I249" s="181">
        <f>SUM(I250:I252)</f>
        <v>290152765.91999996</v>
      </c>
      <c r="J249" s="181">
        <f>SUM(J251:J252)</f>
        <v>121212121.20999999</v>
      </c>
      <c r="K249" s="181">
        <f>SUM(K251:K252)</f>
        <v>0</v>
      </c>
      <c r="L249" s="44"/>
      <c r="M249" s="43"/>
    </row>
    <row r="250" spans="1:17" ht="29.25" customHeight="1" x14ac:dyDescent="0.2">
      <c r="A250" s="142" t="s">
        <v>313</v>
      </c>
      <c r="B250" s="148" t="s">
        <v>306</v>
      </c>
      <c r="C250" s="346"/>
      <c r="D250" s="346"/>
      <c r="E250" s="24"/>
      <c r="F250" s="347"/>
      <c r="G250" s="147"/>
      <c r="H250" s="8">
        <f t="shared" si="69"/>
        <v>150000</v>
      </c>
      <c r="I250" s="347">
        <v>150000</v>
      </c>
      <c r="J250" s="347"/>
      <c r="K250" s="347"/>
      <c r="L250" s="231" t="s">
        <v>314</v>
      </c>
      <c r="M250" s="43"/>
    </row>
    <row r="251" spans="1:17" ht="30.75" customHeight="1" x14ac:dyDescent="0.2">
      <c r="A251" s="9" t="s">
        <v>201</v>
      </c>
      <c r="B251" s="5" t="s">
        <v>8</v>
      </c>
      <c r="C251" s="11"/>
      <c r="D251" s="11"/>
      <c r="E251" s="151"/>
      <c r="F251" s="151"/>
      <c r="G251" s="151"/>
      <c r="H251" s="8">
        <f t="shared" si="69"/>
        <v>4191275.2399999998</v>
      </c>
      <c r="I251" s="175">
        <f>2378016.28+521212.12+79925.63</f>
        <v>2979154.03</v>
      </c>
      <c r="J251" s="175">
        <v>1212121.21</v>
      </c>
      <c r="K251" s="175"/>
      <c r="L251" s="43" t="s">
        <v>329</v>
      </c>
      <c r="M251" s="43"/>
      <c r="N251" s="43"/>
    </row>
    <row r="252" spans="1:17" ht="29.25" customHeight="1" x14ac:dyDescent="0.2">
      <c r="A252" s="172" t="s">
        <v>202</v>
      </c>
      <c r="B252" s="75" t="s">
        <v>7</v>
      </c>
      <c r="C252" s="306"/>
      <c r="D252" s="306"/>
      <c r="E252" s="280"/>
      <c r="F252" s="280"/>
      <c r="G252" s="280"/>
      <c r="H252" s="14">
        <f t="shared" si="69"/>
        <v>407023611.88999999</v>
      </c>
      <c r="I252" s="197">
        <f>235423611.9+51599999.99</f>
        <v>287023611.88999999</v>
      </c>
      <c r="J252" s="197">
        <v>120000000</v>
      </c>
      <c r="K252" s="197"/>
      <c r="L252" s="43" t="s">
        <v>342</v>
      </c>
      <c r="M252" s="43"/>
      <c r="N252" s="45"/>
    </row>
    <row r="253" spans="1:17" ht="38.25" x14ac:dyDescent="0.2">
      <c r="A253" s="9" t="s">
        <v>86</v>
      </c>
      <c r="B253" s="5"/>
      <c r="C253" s="11"/>
      <c r="D253" s="11"/>
      <c r="E253" s="151"/>
      <c r="F253" s="151"/>
      <c r="G253" s="151"/>
      <c r="H253" s="90">
        <f t="shared" si="69"/>
        <v>4922.8599999999997</v>
      </c>
      <c r="I253" s="305">
        <v>4922.8599999999997</v>
      </c>
      <c r="J253" s="175"/>
      <c r="K253" s="175"/>
      <c r="L253" s="43"/>
      <c r="M253" s="43"/>
      <c r="N253" s="43"/>
    </row>
    <row r="254" spans="1:17" ht="39" thickBot="1" x14ac:dyDescent="0.25">
      <c r="A254" s="15" t="s">
        <v>209</v>
      </c>
      <c r="B254" s="6"/>
      <c r="C254" s="12"/>
      <c r="D254" s="12"/>
      <c r="E254" s="154"/>
      <c r="F254" s="154"/>
      <c r="G254" s="154"/>
      <c r="H254" s="74">
        <f>I254</f>
        <v>487362.72</v>
      </c>
      <c r="I254" s="302">
        <v>487362.72</v>
      </c>
      <c r="J254" s="176"/>
      <c r="K254" s="176"/>
      <c r="L254" s="43"/>
      <c r="M254" s="43"/>
      <c r="N254" s="43"/>
    </row>
    <row r="255" spans="1:17" ht="24.75" customHeight="1" thickBot="1" x14ac:dyDescent="0.25">
      <c r="A255" s="401" t="s">
        <v>60</v>
      </c>
      <c r="B255" s="402"/>
      <c r="C255" s="52"/>
      <c r="D255" s="52"/>
      <c r="E255" s="53"/>
      <c r="F255" s="53"/>
      <c r="G255" s="53"/>
      <c r="H255" s="50">
        <f>H140+H199+H247+H237</f>
        <v>3899045740.2600002</v>
      </c>
      <c r="I255" s="50">
        <f>SUM(I256:I296)</f>
        <v>2913686204.8000002</v>
      </c>
      <c r="J255" s="50">
        <f>SUM(J256:J296)</f>
        <v>906025135.32000005</v>
      </c>
      <c r="K255" s="50">
        <f>SUM(K256:K296)</f>
        <v>79334400.140000001</v>
      </c>
      <c r="L255" s="3">
        <f>I255+J255+K255</f>
        <v>3899045740.2600002</v>
      </c>
      <c r="M255" s="64">
        <f>SUM(H256:H296)</f>
        <v>3899045740.2599993</v>
      </c>
      <c r="N255" s="230" t="s">
        <v>141</v>
      </c>
      <c r="O255" s="84">
        <f>I256+I258+I260+I262+I264+I266+I270+I274+I279+I280+I284+I285+I288+I291+I295+I269+I273+I275+I290+I294+I257</f>
        <v>60365590.359999999</v>
      </c>
      <c r="P255" s="84">
        <f t="shared" ref="P255:Q255" si="71">J256+J258+J260+J262+J264+J266+J270+J274+J279+J280+J284+J285+J288+J291+J295+J269+J273+J275+J290+J294</f>
        <v>13759639.34</v>
      </c>
      <c r="Q255" s="84">
        <f t="shared" si="71"/>
        <v>3966720.01</v>
      </c>
    </row>
    <row r="256" spans="1:17" ht="25.5" x14ac:dyDescent="0.2">
      <c r="A256" s="126" t="s">
        <v>24</v>
      </c>
      <c r="B256" s="80" t="s">
        <v>110</v>
      </c>
      <c r="C256" s="73"/>
      <c r="D256" s="73"/>
      <c r="E256" s="68"/>
      <c r="F256" s="68"/>
      <c r="G256" s="68"/>
      <c r="H256" s="29">
        <f t="shared" ref="H256:H295" si="72">I256+J256+K256</f>
        <v>22679375.329999998</v>
      </c>
      <c r="I256" s="68">
        <f>I157+I159+I161+I163+I165+I167+I169+I171+I173+I143+I151+I175</f>
        <v>22679375.329999998</v>
      </c>
      <c r="J256" s="68">
        <f t="shared" ref="J256:K256" si="73">J157+J159+J161+J163+J165+J167+J169+J171+J173+J143+J151+J175</f>
        <v>0</v>
      </c>
      <c r="K256" s="68">
        <f t="shared" si="73"/>
        <v>0</v>
      </c>
      <c r="L256" s="105"/>
      <c r="M256" s="64"/>
      <c r="N256" s="230" t="s">
        <v>142</v>
      </c>
      <c r="O256" s="84">
        <f>I259+I261+I263+I265+I267+I271+I277+I281+I282+I286+I287+I289+I292+I296+I276</f>
        <v>1578420514.4400001</v>
      </c>
      <c r="P256" s="84">
        <f t="shared" ref="P256:Q256" si="74">J259+J261+J263+J265+J267+J271+J277+J281+J282+J286+J287+J289+J292+J296+J276</f>
        <v>892265495.98000002</v>
      </c>
      <c r="Q256" s="84">
        <f t="shared" si="74"/>
        <v>75367680.129999995</v>
      </c>
    </row>
    <row r="257" spans="1:17" ht="25.5" x14ac:dyDescent="0.2">
      <c r="A257" s="142" t="s">
        <v>333</v>
      </c>
      <c r="B257" s="148" t="s">
        <v>335</v>
      </c>
      <c r="C257" s="351"/>
      <c r="D257" s="351"/>
      <c r="E257" s="79"/>
      <c r="F257" s="79"/>
      <c r="G257" s="79"/>
      <c r="H257" s="8">
        <f t="shared" si="72"/>
        <v>79494.240000000005</v>
      </c>
      <c r="I257" s="79">
        <f>I155</f>
        <v>79494.240000000005</v>
      </c>
      <c r="J257" s="79">
        <f t="shared" ref="J257:K257" si="75">J155</f>
        <v>0</v>
      </c>
      <c r="K257" s="79">
        <f t="shared" si="75"/>
        <v>0</v>
      </c>
      <c r="L257" s="105"/>
      <c r="M257" s="64"/>
      <c r="N257" s="230" t="s">
        <v>143</v>
      </c>
      <c r="O257" s="84">
        <f>I268+I272+I278+I283+I293</f>
        <v>1274900100</v>
      </c>
      <c r="P257" s="84">
        <f>J268+J272+J278+J283+J293</f>
        <v>0</v>
      </c>
      <c r="Q257" s="84">
        <f>K268+K272+K278+K283+K293</f>
        <v>0</v>
      </c>
    </row>
    <row r="258" spans="1:17" ht="25.5" x14ac:dyDescent="0.2">
      <c r="A258" s="222" t="s">
        <v>193</v>
      </c>
      <c r="B258" s="77" t="s">
        <v>223</v>
      </c>
      <c r="C258" s="99"/>
      <c r="D258" s="99"/>
      <c r="E258" s="69"/>
      <c r="F258" s="69"/>
      <c r="G258" s="69"/>
      <c r="H258" s="8">
        <f t="shared" si="72"/>
        <v>4542120</v>
      </c>
      <c r="I258" s="69">
        <f t="shared" ref="I258:K259" si="76">I148</f>
        <v>0</v>
      </c>
      <c r="J258" s="69">
        <f t="shared" si="76"/>
        <v>2249999.9900000002</v>
      </c>
      <c r="K258" s="69">
        <f t="shared" si="76"/>
        <v>2292120.0099999998</v>
      </c>
      <c r="L258" s="105"/>
      <c r="M258" s="64"/>
      <c r="O258" s="84">
        <f>SUM(O255:O257)</f>
        <v>2913686204.8000002</v>
      </c>
      <c r="P258" s="84">
        <f>SUM(P255:P257)</f>
        <v>906025135.32000005</v>
      </c>
      <c r="Q258" s="84">
        <f>SUM(Q255:Q257)</f>
        <v>79334400.140000001</v>
      </c>
    </row>
    <row r="259" spans="1:17" ht="25.5" x14ac:dyDescent="0.2">
      <c r="A259" s="142" t="s">
        <v>194</v>
      </c>
      <c r="B259" s="148" t="s">
        <v>224</v>
      </c>
      <c r="C259" s="101"/>
      <c r="D259" s="101"/>
      <c r="E259" s="87"/>
      <c r="F259" s="87"/>
      <c r="G259" s="87"/>
      <c r="H259" s="8">
        <f t="shared" si="72"/>
        <v>86300280.010000005</v>
      </c>
      <c r="I259" s="69">
        <f t="shared" si="76"/>
        <v>0</v>
      </c>
      <c r="J259" s="69">
        <f t="shared" si="76"/>
        <v>42749999.880000003</v>
      </c>
      <c r="K259" s="69">
        <f t="shared" si="76"/>
        <v>43550280.130000003</v>
      </c>
      <c r="L259" s="3"/>
      <c r="M259" s="64"/>
    </row>
    <row r="260" spans="1:17" ht="25.5" x14ac:dyDescent="0.2">
      <c r="A260" s="222" t="s">
        <v>193</v>
      </c>
      <c r="B260" s="77" t="s">
        <v>225</v>
      </c>
      <c r="C260" s="102"/>
      <c r="D260" s="97"/>
      <c r="E260" s="98"/>
      <c r="F260" s="98"/>
      <c r="G260" s="98"/>
      <c r="H260" s="8">
        <f t="shared" si="72"/>
        <v>2124235</v>
      </c>
      <c r="I260" s="8">
        <f t="shared" ref="I260:K261" si="77">I144</f>
        <v>0</v>
      </c>
      <c r="J260" s="8">
        <f t="shared" si="77"/>
        <v>2124235</v>
      </c>
      <c r="K260" s="8">
        <f t="shared" si="77"/>
        <v>0</v>
      </c>
      <c r="M260" s="43"/>
    </row>
    <row r="261" spans="1:17" ht="25.5" x14ac:dyDescent="0.2">
      <c r="A261" s="142" t="s">
        <v>194</v>
      </c>
      <c r="B261" s="148" t="s">
        <v>226</v>
      </c>
      <c r="C261" s="102"/>
      <c r="D261" s="97"/>
      <c r="E261" s="98"/>
      <c r="F261" s="98"/>
      <c r="G261" s="98"/>
      <c r="H261" s="8">
        <f t="shared" si="72"/>
        <v>40360465</v>
      </c>
      <c r="I261" s="8">
        <f t="shared" si="77"/>
        <v>0</v>
      </c>
      <c r="J261" s="8">
        <f t="shared" si="77"/>
        <v>40360465</v>
      </c>
      <c r="K261" s="8">
        <f t="shared" si="77"/>
        <v>0</v>
      </c>
      <c r="M261" s="43"/>
    </row>
    <row r="262" spans="1:17" ht="25.5" x14ac:dyDescent="0.2">
      <c r="A262" s="213" t="s">
        <v>193</v>
      </c>
      <c r="B262" s="287" t="s">
        <v>227</v>
      </c>
      <c r="C262" s="102"/>
      <c r="D262" s="97"/>
      <c r="E262" s="98"/>
      <c r="F262" s="98"/>
      <c r="G262" s="98"/>
      <c r="H262" s="8">
        <f t="shared" si="72"/>
        <v>3174600</v>
      </c>
      <c r="I262" s="8">
        <f t="shared" ref="I262:K263" si="78">I152</f>
        <v>0</v>
      </c>
      <c r="J262" s="8">
        <f t="shared" si="78"/>
        <v>1500000</v>
      </c>
      <c r="K262" s="8">
        <f t="shared" si="78"/>
        <v>1674600</v>
      </c>
      <c r="M262" s="43"/>
      <c r="O262" t="s">
        <v>153</v>
      </c>
    </row>
    <row r="263" spans="1:17" ht="25.5" x14ac:dyDescent="0.2">
      <c r="A263" s="142" t="s">
        <v>194</v>
      </c>
      <c r="B263" s="148" t="s">
        <v>228</v>
      </c>
      <c r="C263" s="102"/>
      <c r="D263" s="97"/>
      <c r="E263" s="98"/>
      <c r="F263" s="98"/>
      <c r="G263" s="98"/>
      <c r="H263" s="8">
        <f t="shared" si="72"/>
        <v>60317400</v>
      </c>
      <c r="I263" s="8">
        <f t="shared" si="78"/>
        <v>0</v>
      </c>
      <c r="J263" s="8">
        <f t="shared" si="78"/>
        <v>28500000</v>
      </c>
      <c r="K263" s="8">
        <f t="shared" si="78"/>
        <v>31817400</v>
      </c>
      <c r="M263" s="43"/>
      <c r="N263" s="230" t="s">
        <v>141</v>
      </c>
      <c r="O263" s="84">
        <f>O255+P255+Q255</f>
        <v>78091949.710000008</v>
      </c>
    </row>
    <row r="264" spans="1:17" ht="25.5" x14ac:dyDescent="0.2">
      <c r="A264" s="328" t="s">
        <v>173</v>
      </c>
      <c r="B264" s="329" t="s">
        <v>229</v>
      </c>
      <c r="C264" s="102"/>
      <c r="D264" s="97"/>
      <c r="E264" s="98"/>
      <c r="F264" s="98"/>
      <c r="G264" s="98"/>
      <c r="H264" s="8">
        <f t="shared" si="72"/>
        <v>43621.32</v>
      </c>
      <c r="I264" s="8">
        <f t="shared" ref="I264:K265" si="79">I197</f>
        <v>43621.32</v>
      </c>
      <c r="J264" s="8">
        <f t="shared" si="79"/>
        <v>0</v>
      </c>
      <c r="K264" s="8">
        <f t="shared" si="79"/>
        <v>0</v>
      </c>
      <c r="M264" s="43"/>
      <c r="N264" s="230" t="s">
        <v>142</v>
      </c>
      <c r="O264" s="84">
        <f>O256+P256+Q256</f>
        <v>2546053690.5500002</v>
      </c>
    </row>
    <row r="265" spans="1:17" ht="25.5" x14ac:dyDescent="0.2">
      <c r="A265" s="330" t="s">
        <v>174</v>
      </c>
      <c r="B265" s="148" t="s">
        <v>230</v>
      </c>
      <c r="C265" s="102"/>
      <c r="D265" s="97"/>
      <c r="E265" s="98"/>
      <c r="F265" s="98"/>
      <c r="G265" s="98"/>
      <c r="H265" s="8">
        <f t="shared" si="72"/>
        <v>4318510.4000000004</v>
      </c>
      <c r="I265" s="8">
        <f t="shared" si="79"/>
        <v>4318510.4000000004</v>
      </c>
      <c r="J265" s="8">
        <f t="shared" si="79"/>
        <v>0</v>
      </c>
      <c r="K265" s="8">
        <f t="shared" si="79"/>
        <v>0</v>
      </c>
      <c r="M265" s="43"/>
      <c r="N265" s="230" t="s">
        <v>143</v>
      </c>
      <c r="O265" s="84">
        <f>O257+P257+Q257</f>
        <v>1274900100</v>
      </c>
    </row>
    <row r="266" spans="1:17" ht="25.5" x14ac:dyDescent="0.2">
      <c r="A266" s="142" t="s">
        <v>239</v>
      </c>
      <c r="B266" s="148" t="s">
        <v>131</v>
      </c>
      <c r="C266" s="102"/>
      <c r="D266" s="97"/>
      <c r="E266" s="98"/>
      <c r="F266" s="98"/>
      <c r="G266" s="98"/>
      <c r="H266" s="8">
        <f t="shared" si="72"/>
        <v>1228474.28</v>
      </c>
      <c r="I266" s="8">
        <f t="shared" ref="I266:K268" si="80">I178</f>
        <v>1228474.28</v>
      </c>
      <c r="J266" s="8">
        <f t="shared" si="80"/>
        <v>0</v>
      </c>
      <c r="K266" s="8">
        <f t="shared" si="80"/>
        <v>0</v>
      </c>
      <c r="M266" s="43"/>
      <c r="N266" s="230"/>
      <c r="O266" s="84">
        <f>O258+P258+Q258</f>
        <v>3899045740.2600002</v>
      </c>
    </row>
    <row r="267" spans="1:17" ht="25.5" x14ac:dyDescent="0.2">
      <c r="A267" s="142" t="s">
        <v>176</v>
      </c>
      <c r="B267" s="148" t="s">
        <v>130</v>
      </c>
      <c r="C267" s="102"/>
      <c r="D267" s="97"/>
      <c r="E267" s="98"/>
      <c r="F267" s="98"/>
      <c r="G267" s="98"/>
      <c r="H267" s="8">
        <f t="shared" si="72"/>
        <v>4170000</v>
      </c>
      <c r="I267" s="8">
        <f t="shared" si="80"/>
        <v>4170000</v>
      </c>
      <c r="J267" s="8">
        <f t="shared" si="80"/>
        <v>0</v>
      </c>
      <c r="K267" s="8">
        <f t="shared" si="80"/>
        <v>0</v>
      </c>
      <c r="M267" s="43"/>
    </row>
    <row r="268" spans="1:17" ht="25.5" x14ac:dyDescent="0.2">
      <c r="A268" s="142" t="s">
        <v>177</v>
      </c>
      <c r="B268" s="148" t="s">
        <v>231</v>
      </c>
      <c r="C268" s="102"/>
      <c r="D268" s="97"/>
      <c r="E268" s="98"/>
      <c r="F268" s="98"/>
      <c r="G268" s="98"/>
      <c r="H268" s="8">
        <f t="shared" si="72"/>
        <v>19100000</v>
      </c>
      <c r="I268" s="8">
        <f t="shared" si="80"/>
        <v>19100000</v>
      </c>
      <c r="J268" s="8">
        <f t="shared" si="80"/>
        <v>0</v>
      </c>
      <c r="K268" s="8">
        <f t="shared" si="80"/>
        <v>0</v>
      </c>
      <c r="M268" s="43"/>
    </row>
    <row r="269" spans="1:17" ht="25.5" x14ac:dyDescent="0.2">
      <c r="A269" s="142" t="s">
        <v>308</v>
      </c>
      <c r="B269" s="148" t="s">
        <v>309</v>
      </c>
      <c r="C269" s="102"/>
      <c r="D269" s="97"/>
      <c r="E269" s="98"/>
      <c r="F269" s="98"/>
      <c r="G269" s="98"/>
      <c r="H269" s="8">
        <f t="shared" si="72"/>
        <v>200000</v>
      </c>
      <c r="I269" s="8">
        <f>I194+I191</f>
        <v>200000</v>
      </c>
      <c r="J269" s="8">
        <f>J194+J191</f>
        <v>0</v>
      </c>
      <c r="K269" s="8">
        <f>K194+K191</f>
        <v>0</v>
      </c>
      <c r="M269" s="43"/>
    </row>
    <row r="270" spans="1:17" ht="25.5" x14ac:dyDescent="0.2">
      <c r="A270" s="142" t="s">
        <v>26</v>
      </c>
      <c r="B270" s="5" t="s">
        <v>236</v>
      </c>
      <c r="C270" s="102"/>
      <c r="D270" s="97"/>
      <c r="E270" s="98"/>
      <c r="F270" s="98"/>
      <c r="G270" s="98"/>
      <c r="H270" s="8">
        <f t="shared" si="72"/>
        <v>102552.51</v>
      </c>
      <c r="I270" s="8">
        <f t="shared" ref="I270:K272" si="81">I187</f>
        <v>102552.51</v>
      </c>
      <c r="J270" s="8">
        <f t="shared" si="81"/>
        <v>0</v>
      </c>
      <c r="K270" s="8">
        <f t="shared" si="81"/>
        <v>0</v>
      </c>
      <c r="M270" s="43"/>
    </row>
    <row r="271" spans="1:17" ht="25.5" x14ac:dyDescent="0.2">
      <c r="A271" s="142" t="s">
        <v>27</v>
      </c>
      <c r="B271" s="148" t="s">
        <v>237</v>
      </c>
      <c r="C271" s="102"/>
      <c r="D271" s="97"/>
      <c r="E271" s="98"/>
      <c r="F271" s="98"/>
      <c r="G271" s="98"/>
      <c r="H271" s="8">
        <f t="shared" si="72"/>
        <v>101698.36</v>
      </c>
      <c r="I271" s="8">
        <f t="shared" si="81"/>
        <v>101698.36</v>
      </c>
      <c r="J271" s="8">
        <f t="shared" si="81"/>
        <v>0</v>
      </c>
      <c r="K271" s="8">
        <f t="shared" si="81"/>
        <v>0</v>
      </c>
      <c r="M271" s="45"/>
    </row>
    <row r="272" spans="1:17" ht="25.5" x14ac:dyDescent="0.2">
      <c r="A272" s="142" t="s">
        <v>232</v>
      </c>
      <c r="B272" s="148" t="s">
        <v>237</v>
      </c>
      <c r="C272" s="102"/>
      <c r="D272" s="97"/>
      <c r="E272" s="98"/>
      <c r="F272" s="98"/>
      <c r="G272" s="98"/>
      <c r="H272" s="8">
        <f t="shared" si="72"/>
        <v>10051000</v>
      </c>
      <c r="I272" s="8">
        <f t="shared" si="81"/>
        <v>10051000</v>
      </c>
      <c r="J272" s="8">
        <f t="shared" si="81"/>
        <v>0</v>
      </c>
      <c r="K272" s="8">
        <f t="shared" si="81"/>
        <v>0</v>
      </c>
      <c r="M272" s="43"/>
    </row>
    <row r="273" spans="1:13" ht="25.5" x14ac:dyDescent="0.2">
      <c r="A273" s="142" t="s">
        <v>319</v>
      </c>
      <c r="B273" s="148" t="s">
        <v>322</v>
      </c>
      <c r="C273" s="102"/>
      <c r="D273" s="97"/>
      <c r="E273" s="98"/>
      <c r="F273" s="98"/>
      <c r="G273" s="98"/>
      <c r="H273" s="8">
        <f t="shared" si="72"/>
        <v>856710.34</v>
      </c>
      <c r="I273" s="8">
        <f>I203</f>
        <v>856710.34</v>
      </c>
      <c r="J273" s="8">
        <f>J203</f>
        <v>0</v>
      </c>
      <c r="K273" s="8">
        <f>K203</f>
        <v>0</v>
      </c>
      <c r="M273" s="43"/>
    </row>
    <row r="274" spans="1:13" ht="25.5" x14ac:dyDescent="0.2">
      <c r="A274" s="142" t="s">
        <v>83</v>
      </c>
      <c r="B274" s="148" t="s">
        <v>270</v>
      </c>
      <c r="C274" s="102"/>
      <c r="D274" s="97"/>
      <c r="E274" s="98"/>
      <c r="F274" s="98"/>
      <c r="G274" s="98"/>
      <c r="H274" s="8">
        <f t="shared" si="72"/>
        <v>6702344.6699999999</v>
      </c>
      <c r="I274" s="8">
        <f>I208</f>
        <v>6702344.6699999999</v>
      </c>
      <c r="J274" s="8">
        <f>J208</f>
        <v>0</v>
      </c>
      <c r="K274" s="8">
        <f>K208</f>
        <v>0</v>
      </c>
      <c r="M274" s="43"/>
    </row>
    <row r="275" spans="1:13" ht="25.5" x14ac:dyDescent="0.2">
      <c r="A275" s="142" t="s">
        <v>323</v>
      </c>
      <c r="B275" s="148" t="s">
        <v>326</v>
      </c>
      <c r="C275" s="102"/>
      <c r="D275" s="97"/>
      <c r="E275" s="98"/>
      <c r="F275" s="98"/>
      <c r="G275" s="98"/>
      <c r="H275" s="8">
        <f t="shared" si="72"/>
        <v>147593.76</v>
      </c>
      <c r="I275" s="8">
        <f>I209</f>
        <v>147593.76</v>
      </c>
      <c r="J275" s="8">
        <f t="shared" ref="J275:K275" si="82">J209</f>
        <v>0</v>
      </c>
      <c r="K275" s="8">
        <f t="shared" si="82"/>
        <v>0</v>
      </c>
      <c r="M275" s="43"/>
    </row>
    <row r="276" spans="1:13" ht="25.5" x14ac:dyDescent="0.2">
      <c r="A276" s="142" t="s">
        <v>336</v>
      </c>
      <c r="B276" s="148" t="s">
        <v>339</v>
      </c>
      <c r="C276" s="102"/>
      <c r="D276" s="97"/>
      <c r="E276" s="98"/>
      <c r="F276" s="98"/>
      <c r="G276" s="98"/>
      <c r="H276" s="8">
        <f t="shared" si="72"/>
        <v>14611782.560000001</v>
      </c>
      <c r="I276" s="8">
        <f>I210</f>
        <v>14611782.560000001</v>
      </c>
      <c r="J276" s="8">
        <f t="shared" ref="J276:K276" si="83">J210</f>
        <v>0</v>
      </c>
      <c r="K276" s="8">
        <f t="shared" si="83"/>
        <v>0</v>
      </c>
      <c r="M276" s="43"/>
    </row>
    <row r="277" spans="1:13" ht="25.5" x14ac:dyDescent="0.2">
      <c r="A277" s="142" t="s">
        <v>69</v>
      </c>
      <c r="B277" s="148" t="s">
        <v>270</v>
      </c>
      <c r="C277" s="102"/>
      <c r="D277" s="97"/>
      <c r="E277" s="98"/>
      <c r="F277" s="98"/>
      <c r="G277" s="98"/>
      <c r="H277" s="8">
        <f t="shared" si="72"/>
        <v>6635322</v>
      </c>
      <c r="I277" s="8">
        <f>I211</f>
        <v>6635322</v>
      </c>
      <c r="J277" s="8">
        <f>J211</f>
        <v>0</v>
      </c>
      <c r="K277" s="8">
        <f>K211</f>
        <v>0</v>
      </c>
      <c r="M277" s="43"/>
    </row>
    <row r="278" spans="1:13" ht="25.5" x14ac:dyDescent="0.2">
      <c r="A278" s="142" t="s">
        <v>91</v>
      </c>
      <c r="B278" s="148" t="s">
        <v>270</v>
      </c>
      <c r="C278" s="102"/>
      <c r="D278" s="97"/>
      <c r="E278" s="98"/>
      <c r="F278" s="98"/>
      <c r="G278" s="98"/>
      <c r="H278" s="8">
        <f t="shared" si="72"/>
        <v>656896800</v>
      </c>
      <c r="I278" s="8">
        <f>I212</f>
        <v>656896800</v>
      </c>
      <c r="J278" s="8">
        <f>J212</f>
        <v>0</v>
      </c>
      <c r="K278" s="8">
        <f>K212</f>
        <v>0</v>
      </c>
      <c r="M278" s="43"/>
    </row>
    <row r="279" spans="1:13" ht="25.5" x14ac:dyDescent="0.2">
      <c r="A279" s="142" t="s">
        <v>61</v>
      </c>
      <c r="B279" s="148" t="s">
        <v>274</v>
      </c>
      <c r="C279" s="102"/>
      <c r="D279" s="97"/>
      <c r="E279" s="98"/>
      <c r="F279" s="98"/>
      <c r="G279" s="98"/>
      <c r="H279" s="8">
        <f t="shared" si="72"/>
        <v>5156802.0599999996</v>
      </c>
      <c r="I279" s="8">
        <f t="shared" ref="I279:K283" si="84">I217</f>
        <v>5156802.0599999996</v>
      </c>
      <c r="J279" s="8">
        <f t="shared" si="84"/>
        <v>0</v>
      </c>
      <c r="K279" s="8">
        <f t="shared" si="84"/>
        <v>0</v>
      </c>
      <c r="M279" s="43"/>
    </row>
    <row r="280" spans="1:13" ht="25.5" x14ac:dyDescent="0.2">
      <c r="A280" s="142" t="s">
        <v>240</v>
      </c>
      <c r="B280" s="148" t="s">
        <v>120</v>
      </c>
      <c r="C280" s="102"/>
      <c r="D280" s="97"/>
      <c r="E280" s="98"/>
      <c r="F280" s="98"/>
      <c r="G280" s="98"/>
      <c r="H280" s="8">
        <f t="shared" si="72"/>
        <v>2220947.2999999998</v>
      </c>
      <c r="I280" s="8">
        <f t="shared" si="84"/>
        <v>2220947.2999999998</v>
      </c>
      <c r="J280" s="8">
        <f t="shared" si="84"/>
        <v>0</v>
      </c>
      <c r="K280" s="8">
        <f t="shared" si="84"/>
        <v>0</v>
      </c>
      <c r="M280" s="43"/>
    </row>
    <row r="281" spans="1:13" ht="25.5" x14ac:dyDescent="0.2">
      <c r="A281" s="142" t="s">
        <v>136</v>
      </c>
      <c r="B281" s="148" t="s">
        <v>275</v>
      </c>
      <c r="C281" s="102"/>
      <c r="D281" s="97"/>
      <c r="E281" s="98"/>
      <c r="F281" s="98"/>
      <c r="G281" s="98"/>
      <c r="H281" s="8">
        <f t="shared" si="72"/>
        <v>30631404.260000002</v>
      </c>
      <c r="I281" s="8">
        <f t="shared" si="84"/>
        <v>30631404.260000002</v>
      </c>
      <c r="J281" s="8">
        <f t="shared" si="84"/>
        <v>0</v>
      </c>
      <c r="K281" s="8">
        <f t="shared" si="84"/>
        <v>0</v>
      </c>
      <c r="M281" s="43"/>
    </row>
    <row r="282" spans="1:13" ht="25.5" x14ac:dyDescent="0.2">
      <c r="A282" s="142" t="s">
        <v>241</v>
      </c>
      <c r="B282" s="148" t="s">
        <v>120</v>
      </c>
      <c r="C282" s="102"/>
      <c r="D282" s="97"/>
      <c r="E282" s="98"/>
      <c r="F282" s="98"/>
      <c r="G282" s="98"/>
      <c r="H282" s="8">
        <f t="shared" si="72"/>
        <v>184650536.54999998</v>
      </c>
      <c r="I282" s="8">
        <f t="shared" si="84"/>
        <v>184650536.54999998</v>
      </c>
      <c r="J282" s="8">
        <f t="shared" si="84"/>
        <v>0</v>
      </c>
      <c r="K282" s="8">
        <f t="shared" si="84"/>
        <v>0</v>
      </c>
      <c r="M282" s="43"/>
    </row>
    <row r="283" spans="1:13" ht="25.5" x14ac:dyDescent="0.2">
      <c r="A283" s="142" t="s">
        <v>242</v>
      </c>
      <c r="B283" s="148" t="s">
        <v>276</v>
      </c>
      <c r="C283" s="102"/>
      <c r="D283" s="97"/>
      <c r="E283" s="98"/>
      <c r="F283" s="98"/>
      <c r="G283" s="98"/>
      <c r="H283" s="8">
        <f t="shared" si="72"/>
        <v>479892000</v>
      </c>
      <c r="I283" s="8">
        <f t="shared" si="84"/>
        <v>479892000</v>
      </c>
      <c r="J283" s="8">
        <f t="shared" si="84"/>
        <v>0</v>
      </c>
      <c r="K283" s="8">
        <f t="shared" si="84"/>
        <v>0</v>
      </c>
      <c r="M283" s="43"/>
    </row>
    <row r="284" spans="1:13" ht="25.5" x14ac:dyDescent="0.2">
      <c r="A284" s="142" t="s">
        <v>198</v>
      </c>
      <c r="B284" s="148" t="s">
        <v>76</v>
      </c>
      <c r="C284" s="102"/>
      <c r="D284" s="97"/>
      <c r="E284" s="98"/>
      <c r="F284" s="98"/>
      <c r="G284" s="98"/>
      <c r="H284" s="8">
        <f t="shared" si="72"/>
        <v>3423353.85</v>
      </c>
      <c r="I284" s="8">
        <f t="shared" ref="I284:K287" si="85">I226</f>
        <v>1800575.76</v>
      </c>
      <c r="J284" s="8">
        <f t="shared" si="85"/>
        <v>1622778.09</v>
      </c>
      <c r="K284" s="8">
        <f t="shared" si="85"/>
        <v>0</v>
      </c>
      <c r="M284" s="43"/>
    </row>
    <row r="285" spans="1:13" ht="25.5" x14ac:dyDescent="0.2">
      <c r="A285" s="142" t="s">
        <v>196</v>
      </c>
      <c r="B285" s="148" t="s">
        <v>243</v>
      </c>
      <c r="C285" s="102"/>
      <c r="D285" s="97"/>
      <c r="E285" s="98"/>
      <c r="F285" s="98"/>
      <c r="G285" s="98"/>
      <c r="H285" s="8">
        <f t="shared" si="72"/>
        <v>10933202.02</v>
      </c>
      <c r="I285" s="8">
        <f t="shared" si="85"/>
        <v>5882696.9699999997</v>
      </c>
      <c r="J285" s="8">
        <f t="shared" si="85"/>
        <v>5050505.05</v>
      </c>
      <c r="K285" s="8">
        <f t="shared" si="85"/>
        <v>0</v>
      </c>
      <c r="M285" s="43"/>
    </row>
    <row r="286" spans="1:13" ht="25.5" x14ac:dyDescent="0.2">
      <c r="A286" s="142" t="s">
        <v>195</v>
      </c>
      <c r="B286" s="148" t="s">
        <v>77</v>
      </c>
      <c r="C286" s="102"/>
      <c r="D286" s="97"/>
      <c r="E286" s="98"/>
      <c r="F286" s="98"/>
      <c r="G286" s="98"/>
      <c r="H286" s="8">
        <f t="shared" si="72"/>
        <v>338912031.10000002</v>
      </c>
      <c r="I286" s="8">
        <f t="shared" si="85"/>
        <v>178257000</v>
      </c>
      <c r="J286" s="8">
        <f t="shared" si="85"/>
        <v>160655031.09999999</v>
      </c>
      <c r="K286" s="8">
        <f t="shared" si="85"/>
        <v>0</v>
      </c>
      <c r="M286" s="43"/>
    </row>
    <row r="287" spans="1:13" ht="25.5" x14ac:dyDescent="0.2">
      <c r="A287" s="142" t="s">
        <v>197</v>
      </c>
      <c r="B287" s="148" t="s">
        <v>243</v>
      </c>
      <c r="C287" s="102"/>
      <c r="D287" s="97"/>
      <c r="E287" s="98"/>
      <c r="F287" s="98"/>
      <c r="G287" s="98"/>
      <c r="H287" s="8">
        <f t="shared" si="72"/>
        <v>1082387000</v>
      </c>
      <c r="I287" s="8">
        <f t="shared" si="85"/>
        <v>582387000</v>
      </c>
      <c r="J287" s="8">
        <f t="shared" si="85"/>
        <v>500000000</v>
      </c>
      <c r="K287" s="8">
        <f t="shared" si="85"/>
        <v>0</v>
      </c>
      <c r="M287" s="43"/>
    </row>
    <row r="288" spans="1:13" ht="25.5" x14ac:dyDescent="0.2">
      <c r="A288" s="142" t="s">
        <v>199</v>
      </c>
      <c r="B288" s="148" t="s">
        <v>246</v>
      </c>
      <c r="C288" s="102"/>
      <c r="D288" s="97"/>
      <c r="E288" s="98"/>
      <c r="F288" s="98"/>
      <c r="G288" s="98"/>
      <c r="H288" s="8">
        <f t="shared" si="72"/>
        <v>8590386.7899999991</v>
      </c>
      <c r="I288" s="8">
        <f t="shared" ref="I288:K289" si="86">I233</f>
        <v>8590386.7899999991</v>
      </c>
      <c r="J288" s="8">
        <f t="shared" si="86"/>
        <v>0</v>
      </c>
      <c r="K288" s="8">
        <f t="shared" si="86"/>
        <v>0</v>
      </c>
      <c r="M288" s="43"/>
    </row>
    <row r="289" spans="1:13" ht="25.5" x14ac:dyDescent="0.2">
      <c r="A289" s="207" t="s">
        <v>200</v>
      </c>
      <c r="B289" s="208" t="s">
        <v>246</v>
      </c>
      <c r="C289" s="102"/>
      <c r="D289" s="97"/>
      <c r="E289" s="98"/>
      <c r="F289" s="98"/>
      <c r="G289" s="98"/>
      <c r="H289" s="8">
        <f t="shared" si="72"/>
        <v>278678735.42000002</v>
      </c>
      <c r="I289" s="8">
        <f t="shared" si="86"/>
        <v>278678735.42000002</v>
      </c>
      <c r="J289" s="8">
        <f t="shared" si="86"/>
        <v>0</v>
      </c>
      <c r="K289" s="8">
        <f t="shared" si="86"/>
        <v>0</v>
      </c>
      <c r="M289" s="43"/>
    </row>
    <row r="290" spans="1:13" ht="25.5" x14ac:dyDescent="0.2">
      <c r="A290" s="142" t="s">
        <v>317</v>
      </c>
      <c r="B290" s="148" t="s">
        <v>110</v>
      </c>
      <c r="C290" s="102"/>
      <c r="D290" s="97"/>
      <c r="E290" s="98"/>
      <c r="F290" s="98"/>
      <c r="G290" s="98"/>
      <c r="H290" s="8">
        <f t="shared" si="72"/>
        <v>374000</v>
      </c>
      <c r="I290" s="8">
        <f>I240</f>
        <v>374000</v>
      </c>
      <c r="J290" s="8">
        <f t="shared" ref="J290:K290" si="87">J240</f>
        <v>0</v>
      </c>
      <c r="K290" s="8">
        <f t="shared" si="87"/>
        <v>0</v>
      </c>
      <c r="M290" s="43"/>
    </row>
    <row r="291" spans="1:13" ht="25.5" x14ac:dyDescent="0.2">
      <c r="A291" s="142" t="s">
        <v>282</v>
      </c>
      <c r="B291" s="148" t="s">
        <v>283</v>
      </c>
      <c r="C291" s="102"/>
      <c r="D291" s="97"/>
      <c r="E291" s="98"/>
      <c r="F291" s="98"/>
      <c r="G291" s="98"/>
      <c r="H291" s="8">
        <f t="shared" si="72"/>
        <v>1170861</v>
      </c>
      <c r="I291" s="8">
        <f>I241</f>
        <v>1170861</v>
      </c>
      <c r="J291" s="8">
        <f>J241</f>
        <v>0</v>
      </c>
      <c r="K291" s="8">
        <f>K241</f>
        <v>0</v>
      </c>
      <c r="M291" s="43"/>
    </row>
    <row r="292" spans="1:13" ht="25.5" x14ac:dyDescent="0.2">
      <c r="A292" s="142" t="s">
        <v>284</v>
      </c>
      <c r="B292" s="148" t="s">
        <v>285</v>
      </c>
      <c r="C292" s="102"/>
      <c r="D292" s="97"/>
      <c r="E292" s="98"/>
      <c r="F292" s="98"/>
      <c r="G292" s="98"/>
      <c r="H292" s="8">
        <f t="shared" si="72"/>
        <v>6954913</v>
      </c>
      <c r="I292" s="8">
        <f>I242</f>
        <v>6954913</v>
      </c>
      <c r="J292" s="8">
        <f>J242</f>
        <v>0</v>
      </c>
      <c r="K292" s="8">
        <f>K242</f>
        <v>0</v>
      </c>
      <c r="M292" s="43"/>
    </row>
    <row r="293" spans="1:13" ht="25.5" x14ac:dyDescent="0.2">
      <c r="A293" s="207" t="s">
        <v>280</v>
      </c>
      <c r="B293" s="208" t="s">
        <v>281</v>
      </c>
      <c r="C293" s="102"/>
      <c r="D293" s="97"/>
      <c r="E293" s="98"/>
      <c r="F293" s="98"/>
      <c r="G293" s="98"/>
      <c r="H293" s="8">
        <f t="shared" si="72"/>
        <v>108960300</v>
      </c>
      <c r="I293" s="8">
        <f>I243</f>
        <v>108960300</v>
      </c>
      <c r="J293" s="8">
        <f t="shared" ref="J293:K293" si="88">J243</f>
        <v>0</v>
      </c>
      <c r="K293" s="8">
        <f t="shared" si="88"/>
        <v>0</v>
      </c>
      <c r="M293" s="43"/>
    </row>
    <row r="294" spans="1:13" ht="25.5" x14ac:dyDescent="0.2">
      <c r="A294" s="142" t="s">
        <v>313</v>
      </c>
      <c r="B294" s="148" t="s">
        <v>306</v>
      </c>
      <c r="C294" s="102"/>
      <c r="D294" s="97"/>
      <c r="E294" s="98"/>
      <c r="F294" s="98"/>
      <c r="G294" s="98"/>
      <c r="H294" s="8">
        <f t="shared" si="72"/>
        <v>150000</v>
      </c>
      <c r="I294" s="8">
        <f>I250</f>
        <v>150000</v>
      </c>
      <c r="J294" s="8">
        <f t="shared" ref="J294:K294" si="89">J250</f>
        <v>0</v>
      </c>
      <c r="K294" s="8">
        <f t="shared" si="89"/>
        <v>0</v>
      </c>
      <c r="M294" s="43"/>
    </row>
    <row r="295" spans="1:13" ht="25.5" x14ac:dyDescent="0.2">
      <c r="A295" s="9" t="s">
        <v>201</v>
      </c>
      <c r="B295" s="5" t="s">
        <v>9</v>
      </c>
      <c r="C295" s="102"/>
      <c r="D295" s="97"/>
      <c r="E295" s="98"/>
      <c r="F295" s="98"/>
      <c r="G295" s="98"/>
      <c r="H295" s="8">
        <f t="shared" si="72"/>
        <v>4191275.2399999998</v>
      </c>
      <c r="I295" s="8">
        <f>I251</f>
        <v>2979154.03</v>
      </c>
      <c r="J295" s="8">
        <f>J251</f>
        <v>1212121.21</v>
      </c>
      <c r="K295" s="8">
        <f>K251</f>
        <v>0</v>
      </c>
      <c r="M295" s="43"/>
    </row>
    <row r="296" spans="1:13" ht="26.25" thickBot="1" x14ac:dyDescent="0.25">
      <c r="A296" s="172" t="s">
        <v>202</v>
      </c>
      <c r="B296" s="75" t="s">
        <v>245</v>
      </c>
      <c r="C296" s="102"/>
      <c r="D296" s="97"/>
      <c r="E296" s="98"/>
      <c r="F296" s="98"/>
      <c r="G296" s="98"/>
      <c r="H296" s="8">
        <f>I296+J296+K296</f>
        <v>407023611.88999999</v>
      </c>
      <c r="I296" s="8">
        <f>I252</f>
        <v>287023611.88999999</v>
      </c>
      <c r="J296" s="8">
        <f>J252</f>
        <v>120000000</v>
      </c>
      <c r="K296" s="8">
        <f>K252</f>
        <v>0</v>
      </c>
      <c r="M296" s="43"/>
    </row>
    <row r="297" spans="1:13" ht="27.75" customHeight="1" thickBot="1" x14ac:dyDescent="0.25">
      <c r="A297" s="391" t="s">
        <v>48</v>
      </c>
      <c r="B297" s="392"/>
      <c r="C297" s="108"/>
      <c r="D297" s="108"/>
      <c r="E297" s="109"/>
      <c r="F297" s="109"/>
      <c r="G297" s="109"/>
      <c r="H297" s="106">
        <f>H255</f>
        <v>3899045740.2600002</v>
      </c>
      <c r="I297" s="106">
        <f>SUM(I298:I338)</f>
        <v>2913686204.8000002</v>
      </c>
      <c r="J297" s="106">
        <f>SUM(J298:J338)</f>
        <v>906025135.32000005</v>
      </c>
      <c r="K297" s="106">
        <f>SUM(K298:K338)</f>
        <v>79334400.140000001</v>
      </c>
      <c r="L297" s="3">
        <f>I297+J297+K297</f>
        <v>3899045740.2600002</v>
      </c>
      <c r="M297" s="64">
        <f>SUM(H298:H338)</f>
        <v>3899045740.2599993</v>
      </c>
    </row>
    <row r="298" spans="1:13" ht="25.5" x14ac:dyDescent="0.2">
      <c r="A298" s="126" t="s">
        <v>24</v>
      </c>
      <c r="B298" s="80" t="s">
        <v>110</v>
      </c>
      <c r="C298" s="103"/>
      <c r="D298" s="103"/>
      <c r="E298" s="104"/>
      <c r="F298" s="104"/>
      <c r="G298" s="104"/>
      <c r="H298" s="29">
        <f t="shared" ref="H298:H338" si="90">I298+J298+K298</f>
        <v>22679375.329999998</v>
      </c>
      <c r="I298" s="68">
        <f>I256</f>
        <v>22679375.329999998</v>
      </c>
      <c r="J298" s="68">
        <f>J256</f>
        <v>0</v>
      </c>
      <c r="K298" s="68">
        <f>K256</f>
        <v>0</v>
      </c>
      <c r="L298" s="3"/>
      <c r="M298" s="43"/>
    </row>
    <row r="299" spans="1:13" ht="25.5" x14ac:dyDescent="0.2">
      <c r="A299" s="142" t="s">
        <v>333</v>
      </c>
      <c r="B299" s="148" t="s">
        <v>335</v>
      </c>
      <c r="C299" s="112"/>
      <c r="D299" s="112"/>
      <c r="E299" s="113"/>
      <c r="F299" s="113"/>
      <c r="G299" s="113"/>
      <c r="H299" s="8">
        <f t="shared" si="90"/>
        <v>79494.240000000005</v>
      </c>
      <c r="I299" s="79">
        <f t="shared" ref="I299:I338" si="91">I257</f>
        <v>79494.240000000005</v>
      </c>
      <c r="J299" s="79">
        <f t="shared" ref="J299:K299" si="92">J257</f>
        <v>0</v>
      </c>
      <c r="K299" s="79">
        <f t="shared" si="92"/>
        <v>0</v>
      </c>
      <c r="L299" s="3"/>
      <c r="M299" s="43"/>
    </row>
    <row r="300" spans="1:13" ht="25.5" x14ac:dyDescent="0.2">
      <c r="A300" s="222" t="s">
        <v>193</v>
      </c>
      <c r="B300" s="77" t="s">
        <v>223</v>
      </c>
      <c r="C300" s="112"/>
      <c r="D300" s="112"/>
      <c r="E300" s="113"/>
      <c r="F300" s="113"/>
      <c r="G300" s="113"/>
      <c r="H300" s="8">
        <f t="shared" si="90"/>
        <v>4542120</v>
      </c>
      <c r="I300" s="79">
        <f t="shared" si="91"/>
        <v>0</v>
      </c>
      <c r="J300" s="79">
        <f t="shared" ref="J300:K310" si="93">J258</f>
        <v>2249999.9900000002</v>
      </c>
      <c r="K300" s="79">
        <f t="shared" si="93"/>
        <v>2292120.0099999998</v>
      </c>
      <c r="L300" s="3"/>
      <c r="M300" s="43"/>
    </row>
    <row r="301" spans="1:13" ht="25.5" x14ac:dyDescent="0.2">
      <c r="A301" s="142" t="s">
        <v>194</v>
      </c>
      <c r="B301" s="148" t="s">
        <v>224</v>
      </c>
      <c r="C301" s="124"/>
      <c r="D301" s="124"/>
      <c r="E301" s="125"/>
      <c r="F301" s="125"/>
      <c r="G301" s="125"/>
      <c r="H301" s="8">
        <f t="shared" si="90"/>
        <v>86300280.010000005</v>
      </c>
      <c r="I301" s="69">
        <f t="shared" si="91"/>
        <v>0</v>
      </c>
      <c r="J301" s="69">
        <f t="shared" si="93"/>
        <v>42749999.880000003</v>
      </c>
      <c r="K301" s="69">
        <f t="shared" si="93"/>
        <v>43550280.130000003</v>
      </c>
      <c r="L301" s="3"/>
      <c r="M301" s="43"/>
    </row>
    <row r="302" spans="1:13" ht="25.5" x14ac:dyDescent="0.2">
      <c r="A302" s="222" t="s">
        <v>193</v>
      </c>
      <c r="B302" s="77" t="s">
        <v>225</v>
      </c>
      <c r="C302" s="124"/>
      <c r="D302" s="124"/>
      <c r="E302" s="125"/>
      <c r="F302" s="125"/>
      <c r="G302" s="125"/>
      <c r="H302" s="8">
        <f t="shared" si="90"/>
        <v>2124235</v>
      </c>
      <c r="I302" s="69">
        <f t="shared" si="91"/>
        <v>0</v>
      </c>
      <c r="J302" s="69">
        <f t="shared" si="93"/>
        <v>2124235</v>
      </c>
      <c r="K302" s="69">
        <f t="shared" si="93"/>
        <v>0</v>
      </c>
      <c r="L302" s="3"/>
      <c r="M302" s="43"/>
    </row>
    <row r="303" spans="1:13" ht="25.5" x14ac:dyDescent="0.2">
      <c r="A303" s="142" t="s">
        <v>194</v>
      </c>
      <c r="B303" s="148" t="s">
        <v>226</v>
      </c>
      <c r="C303" s="124"/>
      <c r="D303" s="124"/>
      <c r="E303" s="125"/>
      <c r="F303" s="125"/>
      <c r="G303" s="125"/>
      <c r="H303" s="8">
        <f t="shared" si="90"/>
        <v>40360465</v>
      </c>
      <c r="I303" s="69">
        <f t="shared" si="91"/>
        <v>0</v>
      </c>
      <c r="J303" s="69">
        <f t="shared" si="93"/>
        <v>40360465</v>
      </c>
      <c r="K303" s="69">
        <f t="shared" si="93"/>
        <v>0</v>
      </c>
      <c r="L303" s="3"/>
      <c r="M303" s="43"/>
    </row>
    <row r="304" spans="1:13" ht="25.5" x14ac:dyDescent="0.2">
      <c r="A304" s="222" t="s">
        <v>193</v>
      </c>
      <c r="B304" s="77" t="s">
        <v>227</v>
      </c>
      <c r="C304" s="124"/>
      <c r="D304" s="124"/>
      <c r="E304" s="125"/>
      <c r="F304" s="125"/>
      <c r="G304" s="125"/>
      <c r="H304" s="8">
        <f t="shared" si="90"/>
        <v>3174600</v>
      </c>
      <c r="I304" s="69">
        <f t="shared" si="91"/>
        <v>0</v>
      </c>
      <c r="J304" s="69">
        <f t="shared" si="93"/>
        <v>1500000</v>
      </c>
      <c r="K304" s="69">
        <f t="shared" si="93"/>
        <v>1674600</v>
      </c>
      <c r="L304" s="3"/>
      <c r="M304" s="43"/>
    </row>
    <row r="305" spans="1:13" ht="25.5" x14ac:dyDescent="0.2">
      <c r="A305" s="142" t="s">
        <v>194</v>
      </c>
      <c r="B305" s="148" t="s">
        <v>228</v>
      </c>
      <c r="C305" s="124"/>
      <c r="D305" s="124"/>
      <c r="E305" s="125"/>
      <c r="F305" s="125"/>
      <c r="G305" s="125"/>
      <c r="H305" s="8">
        <f t="shared" si="90"/>
        <v>60317400</v>
      </c>
      <c r="I305" s="69">
        <f t="shared" si="91"/>
        <v>0</v>
      </c>
      <c r="J305" s="69">
        <f t="shared" si="93"/>
        <v>28500000</v>
      </c>
      <c r="K305" s="69">
        <f t="shared" si="93"/>
        <v>31817400</v>
      </c>
      <c r="L305" s="3"/>
      <c r="M305" s="43"/>
    </row>
    <row r="306" spans="1:13" ht="25.5" x14ac:dyDescent="0.2">
      <c r="A306" s="328" t="s">
        <v>173</v>
      </c>
      <c r="B306" s="329" t="s">
        <v>229</v>
      </c>
      <c r="C306" s="124"/>
      <c r="D306" s="124"/>
      <c r="E306" s="125"/>
      <c r="F306" s="125"/>
      <c r="G306" s="125"/>
      <c r="H306" s="8">
        <f t="shared" si="90"/>
        <v>43621.32</v>
      </c>
      <c r="I306" s="69">
        <f t="shared" si="91"/>
        <v>43621.32</v>
      </c>
      <c r="J306" s="69">
        <f t="shared" si="93"/>
        <v>0</v>
      </c>
      <c r="K306" s="69">
        <f t="shared" si="93"/>
        <v>0</v>
      </c>
      <c r="L306" s="3"/>
      <c r="M306" s="43"/>
    </row>
    <row r="307" spans="1:13" ht="25.5" x14ac:dyDescent="0.2">
      <c r="A307" s="330" t="s">
        <v>174</v>
      </c>
      <c r="B307" s="148" t="s">
        <v>230</v>
      </c>
      <c r="C307" s="124"/>
      <c r="D307" s="124"/>
      <c r="E307" s="125"/>
      <c r="F307" s="125"/>
      <c r="G307" s="125"/>
      <c r="H307" s="8">
        <f t="shared" si="90"/>
        <v>4318510.4000000004</v>
      </c>
      <c r="I307" s="69">
        <f t="shared" si="91"/>
        <v>4318510.4000000004</v>
      </c>
      <c r="J307" s="69">
        <f t="shared" si="93"/>
        <v>0</v>
      </c>
      <c r="K307" s="69">
        <f t="shared" si="93"/>
        <v>0</v>
      </c>
      <c r="L307" s="3"/>
      <c r="M307" s="43"/>
    </row>
    <row r="308" spans="1:13" ht="25.5" x14ac:dyDescent="0.2">
      <c r="A308" s="142" t="s">
        <v>239</v>
      </c>
      <c r="B308" s="148" t="s">
        <v>131</v>
      </c>
      <c r="C308" s="124"/>
      <c r="D308" s="124"/>
      <c r="E308" s="125"/>
      <c r="F308" s="125"/>
      <c r="G308" s="125"/>
      <c r="H308" s="8">
        <f t="shared" si="90"/>
        <v>1228474.28</v>
      </c>
      <c r="I308" s="69">
        <f t="shared" si="91"/>
        <v>1228474.28</v>
      </c>
      <c r="J308" s="69">
        <f t="shared" si="93"/>
        <v>0</v>
      </c>
      <c r="K308" s="69">
        <f t="shared" si="93"/>
        <v>0</v>
      </c>
      <c r="L308" s="3"/>
      <c r="M308" s="43"/>
    </row>
    <row r="309" spans="1:13" ht="25.5" x14ac:dyDescent="0.2">
      <c r="A309" s="142" t="s">
        <v>176</v>
      </c>
      <c r="B309" s="148" t="s">
        <v>130</v>
      </c>
      <c r="C309" s="124"/>
      <c r="D309" s="124"/>
      <c r="E309" s="125"/>
      <c r="F309" s="125"/>
      <c r="G309" s="125"/>
      <c r="H309" s="8">
        <f t="shared" si="90"/>
        <v>4170000</v>
      </c>
      <c r="I309" s="69">
        <f t="shared" si="91"/>
        <v>4170000</v>
      </c>
      <c r="J309" s="69">
        <f t="shared" si="93"/>
        <v>0</v>
      </c>
      <c r="K309" s="69">
        <f t="shared" si="93"/>
        <v>0</v>
      </c>
      <c r="L309" s="3"/>
      <c r="M309" s="43"/>
    </row>
    <row r="310" spans="1:13" ht="25.5" x14ac:dyDescent="0.2">
      <c r="A310" s="142" t="s">
        <v>177</v>
      </c>
      <c r="B310" s="148" t="s">
        <v>231</v>
      </c>
      <c r="C310" s="124"/>
      <c r="D310" s="124"/>
      <c r="E310" s="125"/>
      <c r="F310" s="125"/>
      <c r="G310" s="125"/>
      <c r="H310" s="8">
        <f t="shared" si="90"/>
        <v>19100000</v>
      </c>
      <c r="I310" s="69">
        <f t="shared" si="91"/>
        <v>19100000</v>
      </c>
      <c r="J310" s="69">
        <f t="shared" si="93"/>
        <v>0</v>
      </c>
      <c r="K310" s="69">
        <f t="shared" si="93"/>
        <v>0</v>
      </c>
      <c r="L310" s="3"/>
      <c r="M310" s="43"/>
    </row>
    <row r="311" spans="1:13" ht="25.5" x14ac:dyDescent="0.2">
      <c r="A311" s="142" t="s">
        <v>308</v>
      </c>
      <c r="B311" s="148" t="s">
        <v>309</v>
      </c>
      <c r="C311" s="112"/>
      <c r="D311" s="112"/>
      <c r="E311" s="113"/>
      <c r="F311" s="113"/>
      <c r="G311" s="113"/>
      <c r="H311" s="8">
        <f t="shared" si="90"/>
        <v>200000</v>
      </c>
      <c r="I311" s="79">
        <f t="shared" si="91"/>
        <v>200000</v>
      </c>
      <c r="J311" s="79">
        <f t="shared" ref="J311:K311" si="94">J269</f>
        <v>0</v>
      </c>
      <c r="K311" s="79">
        <f t="shared" si="94"/>
        <v>0</v>
      </c>
      <c r="L311" s="3"/>
      <c r="M311" s="43"/>
    </row>
    <row r="312" spans="1:13" ht="25.5" x14ac:dyDescent="0.2">
      <c r="A312" s="142" t="s">
        <v>26</v>
      </c>
      <c r="B312" s="5" t="s">
        <v>236</v>
      </c>
      <c r="C312" s="112"/>
      <c r="D312" s="112"/>
      <c r="E312" s="113"/>
      <c r="F312" s="113"/>
      <c r="G312" s="113"/>
      <c r="H312" s="8">
        <f t="shared" si="90"/>
        <v>102552.51</v>
      </c>
      <c r="I312" s="79">
        <f t="shared" si="91"/>
        <v>102552.51</v>
      </c>
      <c r="J312" s="79">
        <f t="shared" ref="J312:K314" si="95">J270</f>
        <v>0</v>
      </c>
      <c r="K312" s="79">
        <f t="shared" si="95"/>
        <v>0</v>
      </c>
      <c r="L312" s="3"/>
      <c r="M312" s="43"/>
    </row>
    <row r="313" spans="1:13" ht="25.5" x14ac:dyDescent="0.2">
      <c r="A313" s="142" t="s">
        <v>27</v>
      </c>
      <c r="B313" s="148" t="s">
        <v>237</v>
      </c>
      <c r="C313" s="112"/>
      <c r="D313" s="112"/>
      <c r="E313" s="113"/>
      <c r="F313" s="113"/>
      <c r="G313" s="113"/>
      <c r="H313" s="8">
        <f t="shared" si="90"/>
        <v>101698.36</v>
      </c>
      <c r="I313" s="79">
        <f t="shared" si="91"/>
        <v>101698.36</v>
      </c>
      <c r="J313" s="79">
        <f t="shared" si="95"/>
        <v>0</v>
      </c>
      <c r="K313" s="79">
        <f t="shared" si="95"/>
        <v>0</v>
      </c>
      <c r="L313" s="3"/>
      <c r="M313" s="43"/>
    </row>
    <row r="314" spans="1:13" ht="25.5" x14ac:dyDescent="0.2">
      <c r="A314" s="142" t="s">
        <v>232</v>
      </c>
      <c r="B314" s="148" t="s">
        <v>237</v>
      </c>
      <c r="C314" s="112"/>
      <c r="D314" s="112"/>
      <c r="E314" s="113"/>
      <c r="F314" s="113"/>
      <c r="G314" s="113"/>
      <c r="H314" s="8">
        <f t="shared" si="90"/>
        <v>10051000</v>
      </c>
      <c r="I314" s="79">
        <f t="shared" si="91"/>
        <v>10051000</v>
      </c>
      <c r="J314" s="79">
        <f t="shared" si="95"/>
        <v>0</v>
      </c>
      <c r="K314" s="79">
        <f t="shared" si="95"/>
        <v>0</v>
      </c>
      <c r="L314" s="3"/>
      <c r="M314" s="43"/>
    </row>
    <row r="315" spans="1:13" ht="25.5" x14ac:dyDescent="0.2">
      <c r="A315" s="142" t="s">
        <v>319</v>
      </c>
      <c r="B315" s="148" t="s">
        <v>322</v>
      </c>
      <c r="C315" s="112"/>
      <c r="D315" s="112"/>
      <c r="E315" s="113"/>
      <c r="F315" s="113"/>
      <c r="G315" s="113"/>
      <c r="H315" s="8">
        <f t="shared" si="90"/>
        <v>856710.34</v>
      </c>
      <c r="I315" s="79">
        <f t="shared" si="91"/>
        <v>856710.34</v>
      </c>
      <c r="J315" s="79">
        <f t="shared" ref="J315:K315" si="96">J273</f>
        <v>0</v>
      </c>
      <c r="K315" s="79">
        <f t="shared" si="96"/>
        <v>0</v>
      </c>
      <c r="L315" s="3"/>
      <c r="M315" s="43"/>
    </row>
    <row r="316" spans="1:13" ht="25.5" x14ac:dyDescent="0.2">
      <c r="A316" s="142" t="s">
        <v>83</v>
      </c>
      <c r="B316" s="148" t="s">
        <v>270</v>
      </c>
      <c r="C316" s="112"/>
      <c r="D316" s="112"/>
      <c r="E316" s="113"/>
      <c r="F316" s="113"/>
      <c r="G316" s="113"/>
      <c r="H316" s="8">
        <f t="shared" si="90"/>
        <v>6702344.6699999999</v>
      </c>
      <c r="I316" s="79">
        <f t="shared" si="91"/>
        <v>6702344.6699999999</v>
      </c>
      <c r="J316" s="79">
        <f>J274</f>
        <v>0</v>
      </c>
      <c r="K316" s="79">
        <f>K274</f>
        <v>0</v>
      </c>
      <c r="L316" s="3"/>
      <c r="M316" s="43"/>
    </row>
    <row r="317" spans="1:13" ht="25.5" x14ac:dyDescent="0.2">
      <c r="A317" s="142" t="s">
        <v>323</v>
      </c>
      <c r="B317" s="148" t="s">
        <v>326</v>
      </c>
      <c r="C317" s="112"/>
      <c r="D317" s="112"/>
      <c r="E317" s="113"/>
      <c r="F317" s="113"/>
      <c r="G317" s="113"/>
      <c r="H317" s="8">
        <f t="shared" si="90"/>
        <v>147593.76</v>
      </c>
      <c r="I317" s="79">
        <f t="shared" si="91"/>
        <v>147593.76</v>
      </c>
      <c r="J317" s="79">
        <f t="shared" ref="J317:K317" si="97">J275</f>
        <v>0</v>
      </c>
      <c r="K317" s="79">
        <f t="shared" si="97"/>
        <v>0</v>
      </c>
      <c r="L317" s="3"/>
      <c r="M317" s="43"/>
    </row>
    <row r="318" spans="1:13" ht="25.5" x14ac:dyDescent="0.2">
      <c r="A318" s="142" t="s">
        <v>336</v>
      </c>
      <c r="B318" s="148" t="s">
        <v>339</v>
      </c>
      <c r="C318" s="112"/>
      <c r="D318" s="112"/>
      <c r="E318" s="113"/>
      <c r="F318" s="113"/>
      <c r="G318" s="113"/>
      <c r="H318" s="8">
        <f t="shared" si="90"/>
        <v>14611782.560000001</v>
      </c>
      <c r="I318" s="79">
        <f t="shared" si="91"/>
        <v>14611782.560000001</v>
      </c>
      <c r="J318" s="79">
        <f t="shared" ref="J318:K318" si="98">J276</f>
        <v>0</v>
      </c>
      <c r="K318" s="79">
        <f t="shared" si="98"/>
        <v>0</v>
      </c>
      <c r="L318" s="3"/>
      <c r="M318" s="43"/>
    </row>
    <row r="319" spans="1:13" ht="25.5" x14ac:dyDescent="0.2">
      <c r="A319" s="142" t="s">
        <v>69</v>
      </c>
      <c r="B319" s="148" t="s">
        <v>270</v>
      </c>
      <c r="C319" s="124"/>
      <c r="D319" s="124"/>
      <c r="E319" s="125"/>
      <c r="F319" s="125"/>
      <c r="G319" s="125"/>
      <c r="H319" s="8">
        <f t="shared" si="90"/>
        <v>6635322</v>
      </c>
      <c r="I319" s="69">
        <f t="shared" si="91"/>
        <v>6635322</v>
      </c>
      <c r="J319" s="69">
        <f t="shared" ref="J319:K331" si="99">J277</f>
        <v>0</v>
      </c>
      <c r="K319" s="69">
        <f t="shared" si="99"/>
        <v>0</v>
      </c>
      <c r="L319" s="3"/>
      <c r="M319" s="43"/>
    </row>
    <row r="320" spans="1:13" ht="25.5" x14ac:dyDescent="0.2">
      <c r="A320" s="142" t="s">
        <v>91</v>
      </c>
      <c r="B320" s="148" t="s">
        <v>270</v>
      </c>
      <c r="C320" s="124"/>
      <c r="D320" s="124"/>
      <c r="E320" s="125"/>
      <c r="F320" s="125"/>
      <c r="G320" s="125"/>
      <c r="H320" s="8">
        <f t="shared" si="90"/>
        <v>656896800</v>
      </c>
      <c r="I320" s="69">
        <f t="shared" si="91"/>
        <v>656896800</v>
      </c>
      <c r="J320" s="69">
        <f t="shared" si="99"/>
        <v>0</v>
      </c>
      <c r="K320" s="69">
        <f t="shared" si="99"/>
        <v>0</v>
      </c>
      <c r="L320" s="3"/>
      <c r="M320" s="43"/>
    </row>
    <row r="321" spans="1:13" ht="25.5" x14ac:dyDescent="0.2">
      <c r="A321" s="142" t="s">
        <v>61</v>
      </c>
      <c r="B321" s="148" t="s">
        <v>274</v>
      </c>
      <c r="C321" s="112"/>
      <c r="D321" s="112"/>
      <c r="E321" s="113"/>
      <c r="F321" s="113"/>
      <c r="G321" s="113"/>
      <c r="H321" s="8">
        <f t="shared" si="90"/>
        <v>5156802.0599999996</v>
      </c>
      <c r="I321" s="79">
        <f t="shared" si="91"/>
        <v>5156802.0599999996</v>
      </c>
      <c r="J321" s="79">
        <f t="shared" si="99"/>
        <v>0</v>
      </c>
      <c r="K321" s="79">
        <f t="shared" si="99"/>
        <v>0</v>
      </c>
      <c r="L321" s="3"/>
      <c r="M321" s="43"/>
    </row>
    <row r="322" spans="1:13" ht="25.5" x14ac:dyDescent="0.2">
      <c r="A322" s="142" t="s">
        <v>240</v>
      </c>
      <c r="B322" s="148" t="s">
        <v>120</v>
      </c>
      <c r="C322" s="124"/>
      <c r="D322" s="124"/>
      <c r="E322" s="125"/>
      <c r="F322" s="125"/>
      <c r="G322" s="125"/>
      <c r="H322" s="8">
        <f t="shared" si="90"/>
        <v>2220947.2999999998</v>
      </c>
      <c r="I322" s="69">
        <f t="shared" si="91"/>
        <v>2220947.2999999998</v>
      </c>
      <c r="J322" s="69">
        <f t="shared" si="99"/>
        <v>0</v>
      </c>
      <c r="K322" s="69">
        <f t="shared" si="99"/>
        <v>0</v>
      </c>
      <c r="L322" s="3"/>
      <c r="M322" s="43"/>
    </row>
    <row r="323" spans="1:13" ht="25.5" x14ac:dyDescent="0.2">
      <c r="A323" s="142" t="s">
        <v>136</v>
      </c>
      <c r="B323" s="148" t="s">
        <v>276</v>
      </c>
      <c r="C323" s="124"/>
      <c r="D323" s="124"/>
      <c r="E323" s="125"/>
      <c r="F323" s="125"/>
      <c r="G323" s="125"/>
      <c r="H323" s="8">
        <f t="shared" si="90"/>
        <v>30631404.260000002</v>
      </c>
      <c r="I323" s="69">
        <f t="shared" si="91"/>
        <v>30631404.260000002</v>
      </c>
      <c r="J323" s="69">
        <f t="shared" si="99"/>
        <v>0</v>
      </c>
      <c r="K323" s="69">
        <f t="shared" si="99"/>
        <v>0</v>
      </c>
      <c r="L323" s="3"/>
      <c r="M323" s="43"/>
    </row>
    <row r="324" spans="1:13" ht="25.5" x14ac:dyDescent="0.2">
      <c r="A324" s="142" t="s">
        <v>241</v>
      </c>
      <c r="B324" s="148" t="s">
        <v>120</v>
      </c>
      <c r="C324" s="124"/>
      <c r="D324" s="124"/>
      <c r="E324" s="125"/>
      <c r="F324" s="125"/>
      <c r="G324" s="125"/>
      <c r="H324" s="8">
        <f t="shared" si="90"/>
        <v>184650536.54999998</v>
      </c>
      <c r="I324" s="69">
        <f t="shared" si="91"/>
        <v>184650536.54999998</v>
      </c>
      <c r="J324" s="69">
        <f t="shared" si="99"/>
        <v>0</v>
      </c>
      <c r="K324" s="69">
        <f t="shared" si="99"/>
        <v>0</v>
      </c>
      <c r="L324" s="3"/>
      <c r="M324" s="43"/>
    </row>
    <row r="325" spans="1:13" ht="25.5" x14ac:dyDescent="0.2">
      <c r="A325" s="142" t="s">
        <v>242</v>
      </c>
      <c r="B325" s="148" t="s">
        <v>275</v>
      </c>
      <c r="C325" s="112"/>
      <c r="D325" s="112"/>
      <c r="E325" s="113"/>
      <c r="F325" s="113"/>
      <c r="G325" s="113"/>
      <c r="H325" s="8">
        <f t="shared" si="90"/>
        <v>479892000</v>
      </c>
      <c r="I325" s="79">
        <f t="shared" si="91"/>
        <v>479892000</v>
      </c>
      <c r="J325" s="79">
        <f t="shared" si="99"/>
        <v>0</v>
      </c>
      <c r="K325" s="79">
        <f t="shared" si="99"/>
        <v>0</v>
      </c>
      <c r="L325" s="3"/>
      <c r="M325" s="43"/>
    </row>
    <row r="326" spans="1:13" ht="25.5" x14ac:dyDescent="0.2">
      <c r="A326" s="142" t="s">
        <v>198</v>
      </c>
      <c r="B326" s="148" t="s">
        <v>76</v>
      </c>
      <c r="C326" s="124"/>
      <c r="D326" s="124"/>
      <c r="E326" s="125"/>
      <c r="F326" s="125"/>
      <c r="G326" s="125"/>
      <c r="H326" s="8">
        <f t="shared" si="90"/>
        <v>3423353.85</v>
      </c>
      <c r="I326" s="69">
        <f t="shared" si="91"/>
        <v>1800575.76</v>
      </c>
      <c r="J326" s="69">
        <f t="shared" si="99"/>
        <v>1622778.09</v>
      </c>
      <c r="K326" s="69">
        <f t="shared" si="99"/>
        <v>0</v>
      </c>
      <c r="L326" s="3"/>
      <c r="M326" s="43"/>
    </row>
    <row r="327" spans="1:13" ht="25.5" x14ac:dyDescent="0.2">
      <c r="A327" s="142" t="s">
        <v>196</v>
      </c>
      <c r="B327" s="148" t="s">
        <v>243</v>
      </c>
      <c r="C327" s="124"/>
      <c r="D327" s="124"/>
      <c r="E327" s="125"/>
      <c r="F327" s="125"/>
      <c r="G327" s="125"/>
      <c r="H327" s="8">
        <f t="shared" si="90"/>
        <v>10933202.02</v>
      </c>
      <c r="I327" s="69">
        <f t="shared" si="91"/>
        <v>5882696.9699999997</v>
      </c>
      <c r="J327" s="69">
        <f t="shared" si="99"/>
        <v>5050505.05</v>
      </c>
      <c r="K327" s="69">
        <f t="shared" si="99"/>
        <v>0</v>
      </c>
      <c r="L327" s="3"/>
      <c r="M327" s="43"/>
    </row>
    <row r="328" spans="1:13" ht="25.5" x14ac:dyDescent="0.2">
      <c r="A328" s="142" t="s">
        <v>195</v>
      </c>
      <c r="B328" s="148" t="s">
        <v>77</v>
      </c>
      <c r="C328" s="124"/>
      <c r="D328" s="124"/>
      <c r="E328" s="125"/>
      <c r="F328" s="125"/>
      <c r="G328" s="125"/>
      <c r="H328" s="8">
        <f t="shared" si="90"/>
        <v>338912031.10000002</v>
      </c>
      <c r="I328" s="69">
        <f t="shared" si="91"/>
        <v>178257000</v>
      </c>
      <c r="J328" s="69">
        <f t="shared" si="99"/>
        <v>160655031.09999999</v>
      </c>
      <c r="K328" s="69">
        <f t="shared" si="99"/>
        <v>0</v>
      </c>
      <c r="L328" s="3"/>
      <c r="M328" s="43"/>
    </row>
    <row r="329" spans="1:13" ht="25.5" x14ac:dyDescent="0.2">
      <c r="A329" s="207" t="s">
        <v>197</v>
      </c>
      <c r="B329" s="208" t="s">
        <v>243</v>
      </c>
      <c r="C329" s="112"/>
      <c r="D329" s="112"/>
      <c r="E329" s="113"/>
      <c r="F329" s="113"/>
      <c r="G329" s="113"/>
      <c r="H329" s="8">
        <f t="shared" si="90"/>
        <v>1082387000</v>
      </c>
      <c r="I329" s="79">
        <f t="shared" si="91"/>
        <v>582387000</v>
      </c>
      <c r="J329" s="79">
        <f t="shared" si="99"/>
        <v>500000000</v>
      </c>
      <c r="K329" s="79">
        <f t="shared" si="99"/>
        <v>0</v>
      </c>
      <c r="L329" s="3"/>
      <c r="M329" s="43"/>
    </row>
    <row r="330" spans="1:13" ht="25.5" x14ac:dyDescent="0.2">
      <c r="A330" s="142" t="s">
        <v>199</v>
      </c>
      <c r="B330" s="148" t="s">
        <v>246</v>
      </c>
      <c r="C330" s="124"/>
      <c r="D330" s="124"/>
      <c r="E330" s="125"/>
      <c r="F330" s="125"/>
      <c r="G330" s="125"/>
      <c r="H330" s="8">
        <f t="shared" si="90"/>
        <v>8590386.7899999991</v>
      </c>
      <c r="I330" s="69">
        <f t="shared" si="91"/>
        <v>8590386.7899999991</v>
      </c>
      <c r="J330" s="69">
        <f t="shared" si="99"/>
        <v>0</v>
      </c>
      <c r="K330" s="69">
        <f t="shared" si="99"/>
        <v>0</v>
      </c>
      <c r="L330" s="3"/>
      <c r="M330" s="43"/>
    </row>
    <row r="331" spans="1:13" ht="25.5" x14ac:dyDescent="0.2">
      <c r="A331" s="207" t="s">
        <v>200</v>
      </c>
      <c r="B331" s="208" t="s">
        <v>246</v>
      </c>
      <c r="C331" s="112"/>
      <c r="D331" s="112"/>
      <c r="E331" s="113"/>
      <c r="F331" s="113"/>
      <c r="G331" s="113"/>
      <c r="H331" s="8">
        <f t="shared" si="90"/>
        <v>278678735.42000002</v>
      </c>
      <c r="I331" s="79">
        <f t="shared" si="91"/>
        <v>278678735.42000002</v>
      </c>
      <c r="J331" s="79">
        <f t="shared" si="99"/>
        <v>0</v>
      </c>
      <c r="K331" s="79">
        <f t="shared" si="99"/>
        <v>0</v>
      </c>
      <c r="L331" s="3"/>
      <c r="M331" s="43"/>
    </row>
    <row r="332" spans="1:13" ht="25.5" x14ac:dyDescent="0.2">
      <c r="A332" s="142" t="s">
        <v>317</v>
      </c>
      <c r="B332" s="148" t="s">
        <v>110</v>
      </c>
      <c r="C332" s="112"/>
      <c r="D332" s="112"/>
      <c r="E332" s="113"/>
      <c r="F332" s="113"/>
      <c r="G332" s="113"/>
      <c r="H332" s="8">
        <f t="shared" si="90"/>
        <v>374000</v>
      </c>
      <c r="I332" s="79">
        <f t="shared" si="91"/>
        <v>374000</v>
      </c>
      <c r="J332" s="79">
        <f t="shared" ref="J332:K332" si="100">J290</f>
        <v>0</v>
      </c>
      <c r="K332" s="79">
        <f t="shared" si="100"/>
        <v>0</v>
      </c>
      <c r="L332" s="3"/>
      <c r="M332" s="43"/>
    </row>
    <row r="333" spans="1:13" ht="25.5" x14ac:dyDescent="0.2">
      <c r="A333" s="142" t="s">
        <v>282</v>
      </c>
      <c r="B333" s="148" t="s">
        <v>286</v>
      </c>
      <c r="C333" s="112"/>
      <c r="D333" s="112"/>
      <c r="E333" s="113"/>
      <c r="F333" s="113"/>
      <c r="G333" s="113"/>
      <c r="H333" s="8">
        <f t="shared" si="90"/>
        <v>1170861</v>
      </c>
      <c r="I333" s="79">
        <f t="shared" si="91"/>
        <v>1170861</v>
      </c>
      <c r="J333" s="79">
        <f>J291</f>
        <v>0</v>
      </c>
      <c r="K333" s="79">
        <f>K291</f>
        <v>0</v>
      </c>
      <c r="L333" s="3"/>
      <c r="M333" s="43"/>
    </row>
    <row r="334" spans="1:13" ht="25.5" x14ac:dyDescent="0.2">
      <c r="A334" s="142" t="s">
        <v>284</v>
      </c>
      <c r="B334" s="148" t="s">
        <v>287</v>
      </c>
      <c r="C334" s="124"/>
      <c r="D334" s="124"/>
      <c r="E334" s="125"/>
      <c r="F334" s="125"/>
      <c r="G334" s="125"/>
      <c r="H334" s="8">
        <f t="shared" si="90"/>
        <v>6954913</v>
      </c>
      <c r="I334" s="69">
        <f t="shared" si="91"/>
        <v>6954913</v>
      </c>
      <c r="J334" s="69">
        <f>J292</f>
        <v>0</v>
      </c>
      <c r="K334" s="69">
        <f>K292</f>
        <v>0</v>
      </c>
      <c r="L334" s="3"/>
      <c r="M334" s="43"/>
    </row>
    <row r="335" spans="1:13" ht="25.5" x14ac:dyDescent="0.2">
      <c r="A335" s="207" t="s">
        <v>280</v>
      </c>
      <c r="B335" s="208" t="s">
        <v>281</v>
      </c>
      <c r="C335" s="124"/>
      <c r="D335" s="124"/>
      <c r="E335" s="125"/>
      <c r="F335" s="125"/>
      <c r="G335" s="125"/>
      <c r="H335" s="8">
        <f t="shared" si="90"/>
        <v>108960300</v>
      </c>
      <c r="I335" s="69">
        <f t="shared" si="91"/>
        <v>108960300</v>
      </c>
      <c r="J335" s="69">
        <f t="shared" ref="J335:K335" si="101">J293</f>
        <v>0</v>
      </c>
      <c r="K335" s="69">
        <f t="shared" si="101"/>
        <v>0</v>
      </c>
      <c r="L335" s="3"/>
      <c r="M335" s="43"/>
    </row>
    <row r="336" spans="1:13" ht="25.5" x14ac:dyDescent="0.2">
      <c r="A336" s="142" t="s">
        <v>313</v>
      </c>
      <c r="B336" s="148" t="s">
        <v>306</v>
      </c>
      <c r="C336" s="124"/>
      <c r="D336" s="124"/>
      <c r="E336" s="125"/>
      <c r="F336" s="125"/>
      <c r="G336" s="125"/>
      <c r="H336" s="8">
        <f t="shared" si="90"/>
        <v>150000</v>
      </c>
      <c r="I336" s="69">
        <f t="shared" si="91"/>
        <v>150000</v>
      </c>
      <c r="J336" s="69">
        <f t="shared" ref="J336:K336" si="102">J294</f>
        <v>0</v>
      </c>
      <c r="K336" s="69">
        <f t="shared" si="102"/>
        <v>0</v>
      </c>
      <c r="L336" s="3"/>
      <c r="M336" s="43"/>
    </row>
    <row r="337" spans="1:14" ht="25.5" x14ac:dyDescent="0.2">
      <c r="A337" s="9" t="s">
        <v>201</v>
      </c>
      <c r="B337" s="5" t="s">
        <v>9</v>
      </c>
      <c r="C337" s="124"/>
      <c r="D337" s="124"/>
      <c r="E337" s="125"/>
      <c r="F337" s="125"/>
      <c r="G337" s="125"/>
      <c r="H337" s="8">
        <f t="shared" si="90"/>
        <v>4191275.2399999998</v>
      </c>
      <c r="I337" s="69">
        <f t="shared" si="91"/>
        <v>2979154.03</v>
      </c>
      <c r="J337" s="69">
        <f>J295</f>
        <v>1212121.21</v>
      </c>
      <c r="K337" s="69">
        <f>K295</f>
        <v>0</v>
      </c>
      <c r="L337" s="3"/>
      <c r="M337" s="43"/>
    </row>
    <row r="338" spans="1:14" ht="26.25" thickBot="1" x14ac:dyDescent="0.25">
      <c r="A338" s="15" t="s">
        <v>202</v>
      </c>
      <c r="B338" s="6" t="s">
        <v>245</v>
      </c>
      <c r="C338" s="341"/>
      <c r="D338" s="341"/>
      <c r="E338" s="342"/>
      <c r="F338" s="342"/>
      <c r="G338" s="342"/>
      <c r="H338" s="13">
        <f t="shared" si="90"/>
        <v>407023611.88999999</v>
      </c>
      <c r="I338" s="70">
        <f t="shared" si="91"/>
        <v>287023611.88999999</v>
      </c>
      <c r="J338" s="70">
        <f>J296</f>
        <v>120000000</v>
      </c>
      <c r="K338" s="70">
        <f>K296</f>
        <v>0</v>
      </c>
      <c r="L338" s="3"/>
      <c r="M338" s="43"/>
    </row>
    <row r="339" spans="1:14" ht="24.75" customHeight="1" thickBot="1" x14ac:dyDescent="0.25">
      <c r="A339" s="395" t="s">
        <v>16</v>
      </c>
      <c r="B339" s="395"/>
      <c r="C339" s="395"/>
      <c r="D339" s="395"/>
      <c r="E339" s="395"/>
      <c r="F339" s="395"/>
      <c r="G339" s="395"/>
      <c r="H339" s="395"/>
      <c r="I339" s="395"/>
      <c r="J339" s="395"/>
      <c r="K339" s="395"/>
      <c r="L339" s="43"/>
      <c r="M339" s="43"/>
    </row>
    <row r="340" spans="1:14" ht="24" customHeight="1" thickBot="1" x14ac:dyDescent="0.25">
      <c r="A340" s="388" t="s">
        <v>17</v>
      </c>
      <c r="B340" s="388"/>
      <c r="C340" s="388"/>
      <c r="D340" s="388"/>
      <c r="E340" s="388"/>
      <c r="F340" s="388"/>
      <c r="G340" s="388"/>
      <c r="H340" s="388"/>
      <c r="I340" s="388"/>
      <c r="J340" s="388"/>
      <c r="K340" s="388"/>
      <c r="L340" s="43"/>
      <c r="M340" s="43"/>
    </row>
    <row r="341" spans="1:14" ht="78.75" customHeight="1" thickBot="1" x14ac:dyDescent="0.25">
      <c r="A341" s="187" t="s">
        <v>5</v>
      </c>
      <c r="B341" s="188"/>
      <c r="C341" s="189"/>
      <c r="D341" s="189"/>
      <c r="E341" s="190"/>
      <c r="F341" s="190"/>
      <c r="G341" s="190"/>
      <c r="H341" s="183">
        <f>I341+J341+K341</f>
        <v>362320200</v>
      </c>
      <c r="I341" s="183">
        <f>I342</f>
        <v>116849700</v>
      </c>
      <c r="J341" s="183">
        <f>J342</f>
        <v>134362800</v>
      </c>
      <c r="K341" s="183">
        <f>K342</f>
        <v>111107700</v>
      </c>
      <c r="L341" s="45"/>
      <c r="M341" s="43"/>
    </row>
    <row r="342" spans="1:14" ht="93.75" customHeight="1" x14ac:dyDescent="0.2">
      <c r="A342" s="169" t="s">
        <v>11</v>
      </c>
      <c r="B342" s="191" t="s">
        <v>53</v>
      </c>
      <c r="C342" s="192" t="s">
        <v>247</v>
      </c>
      <c r="D342" s="192" t="s">
        <v>248</v>
      </c>
      <c r="E342" s="181">
        <v>276965964</v>
      </c>
      <c r="F342" s="181"/>
      <c r="G342" s="181">
        <f>E342-F342</f>
        <v>276965964</v>
      </c>
      <c r="H342" s="181">
        <f t="shared" ref="H342:H349" si="103">I342+J342+K342</f>
        <v>362320200</v>
      </c>
      <c r="I342" s="181">
        <f>SUM(I343:I345)</f>
        <v>116849700</v>
      </c>
      <c r="J342" s="181">
        <f>SUM(J343:J345)</f>
        <v>134362800</v>
      </c>
      <c r="K342" s="181">
        <f>SUM(K343:K345)</f>
        <v>111107700</v>
      </c>
      <c r="L342" s="43"/>
      <c r="M342" s="43"/>
    </row>
    <row r="343" spans="1:14" ht="27" customHeight="1" x14ac:dyDescent="0.2">
      <c r="A343" s="142" t="s">
        <v>249</v>
      </c>
      <c r="B343" s="185" t="s">
        <v>13</v>
      </c>
      <c r="C343" s="193"/>
      <c r="D343" s="193"/>
      <c r="E343" s="175"/>
      <c r="F343" s="175"/>
      <c r="G343" s="175"/>
      <c r="H343" s="175">
        <f>SUM(I343:K343)</f>
        <v>117149799.90000001</v>
      </c>
      <c r="I343" s="175">
        <f>69975604.26-0.01</f>
        <v>69975604.25</v>
      </c>
      <c r="J343" s="175">
        <v>36693452.170000002</v>
      </c>
      <c r="K343" s="175">
        <v>10480743.48</v>
      </c>
      <c r="L343" s="43"/>
      <c r="M343" s="43"/>
      <c r="N343" s="43"/>
    </row>
    <row r="344" spans="1:14" ht="27.75" customHeight="1" x14ac:dyDescent="0.2">
      <c r="A344" s="142" t="s">
        <v>12</v>
      </c>
      <c r="B344" s="185" t="s">
        <v>288</v>
      </c>
      <c r="C344" s="193"/>
      <c r="D344" s="193"/>
      <c r="E344" s="175"/>
      <c r="F344" s="175"/>
      <c r="G344" s="175"/>
      <c r="H344" s="175">
        <f>SUM(I344:K344)</f>
        <v>18676150.100000001</v>
      </c>
      <c r="I344" s="175">
        <f>3243095.74+0.01-430650</f>
        <v>2812445.75</v>
      </c>
      <c r="J344" s="175">
        <v>7813547.8300000001</v>
      </c>
      <c r="K344" s="175">
        <v>8050156.5199999996</v>
      </c>
      <c r="L344" s="43" t="s">
        <v>356</v>
      </c>
      <c r="M344" s="43"/>
      <c r="N344" s="43"/>
    </row>
    <row r="345" spans="1:14" ht="28.5" customHeight="1" thickBot="1" x14ac:dyDescent="0.25">
      <c r="A345" s="142" t="s">
        <v>14</v>
      </c>
      <c r="B345" s="185" t="s">
        <v>289</v>
      </c>
      <c r="C345" s="193"/>
      <c r="D345" s="193"/>
      <c r="E345" s="175"/>
      <c r="F345" s="175"/>
      <c r="G345" s="175"/>
      <c r="H345" s="175">
        <f>SUM(I345:K345)</f>
        <v>226494250</v>
      </c>
      <c r="I345" s="175">
        <f>50808500-6746850</f>
        <v>44061650</v>
      </c>
      <c r="J345" s="175">
        <v>89855800</v>
      </c>
      <c r="K345" s="175">
        <v>92576800</v>
      </c>
      <c r="L345" s="43" t="s">
        <v>357</v>
      </c>
      <c r="M345" s="43"/>
      <c r="N345" s="43"/>
    </row>
    <row r="346" spans="1:14" ht="21" customHeight="1" thickBot="1" x14ac:dyDescent="0.25">
      <c r="A346" s="389" t="s">
        <v>6</v>
      </c>
      <c r="B346" s="390"/>
      <c r="C346" s="50"/>
      <c r="D346" s="50"/>
      <c r="E346" s="50"/>
      <c r="F346" s="50"/>
      <c r="G346" s="50"/>
      <c r="H346" s="50">
        <f t="shared" si="103"/>
        <v>362320200</v>
      </c>
      <c r="I346" s="50">
        <f>SUM(I347:I349)</f>
        <v>116849700</v>
      </c>
      <c r="J346" s="50">
        <f>SUM(J347:J349)</f>
        <v>134362800</v>
      </c>
      <c r="K346" s="50">
        <f>SUM(K347:K349)</f>
        <v>111107700</v>
      </c>
      <c r="L346" s="43"/>
      <c r="M346" s="43"/>
    </row>
    <row r="347" spans="1:14" ht="25.5" x14ac:dyDescent="0.2">
      <c r="A347" s="143" t="s">
        <v>12</v>
      </c>
      <c r="B347" s="184">
        <v>9253</v>
      </c>
      <c r="C347" s="169"/>
      <c r="D347" s="169"/>
      <c r="E347" s="169"/>
      <c r="F347" s="169"/>
      <c r="G347" s="169"/>
      <c r="H347" s="181">
        <f t="shared" si="103"/>
        <v>117149799.90000001</v>
      </c>
      <c r="I347" s="181">
        <f t="shared" ref="I347:K349" si="104">I343</f>
        <v>69975604.25</v>
      </c>
      <c r="J347" s="181">
        <f t="shared" si="104"/>
        <v>36693452.170000002</v>
      </c>
      <c r="K347" s="181">
        <f t="shared" si="104"/>
        <v>10480743.48</v>
      </c>
      <c r="L347" s="43"/>
      <c r="M347" s="43"/>
    </row>
    <row r="348" spans="1:14" ht="28.5" customHeight="1" x14ac:dyDescent="0.2">
      <c r="A348" s="142" t="s">
        <v>12</v>
      </c>
      <c r="B348" s="185" t="s">
        <v>250</v>
      </c>
      <c r="C348" s="186"/>
      <c r="D348" s="186"/>
      <c r="E348" s="186"/>
      <c r="F348" s="186"/>
      <c r="G348" s="186"/>
      <c r="H348" s="175">
        <f t="shared" si="103"/>
        <v>18676150.100000001</v>
      </c>
      <c r="I348" s="175">
        <f t="shared" si="104"/>
        <v>2812445.75</v>
      </c>
      <c r="J348" s="175">
        <f t="shared" si="104"/>
        <v>7813547.8300000001</v>
      </c>
      <c r="K348" s="175">
        <f t="shared" si="104"/>
        <v>8050156.5199999996</v>
      </c>
      <c r="L348" s="43"/>
      <c r="M348" s="43"/>
    </row>
    <row r="349" spans="1:14" ht="27.75" customHeight="1" thickBot="1" x14ac:dyDescent="0.25">
      <c r="A349" s="142" t="s">
        <v>14</v>
      </c>
      <c r="B349" s="185" t="s">
        <v>251</v>
      </c>
      <c r="C349" s="186"/>
      <c r="D349" s="186"/>
      <c r="E349" s="186"/>
      <c r="F349" s="186"/>
      <c r="G349" s="186"/>
      <c r="H349" s="175">
        <f t="shared" si="103"/>
        <v>226494250</v>
      </c>
      <c r="I349" s="175">
        <f t="shared" si="104"/>
        <v>44061650</v>
      </c>
      <c r="J349" s="175">
        <f t="shared" si="104"/>
        <v>89855800</v>
      </c>
      <c r="K349" s="175">
        <f t="shared" si="104"/>
        <v>92576800</v>
      </c>
      <c r="L349" s="43"/>
      <c r="M349" s="43"/>
    </row>
    <row r="350" spans="1:14" ht="26.25" customHeight="1" thickBot="1" x14ac:dyDescent="0.25">
      <c r="A350" s="391" t="s">
        <v>6</v>
      </c>
      <c r="B350" s="392"/>
      <c r="C350" s="111"/>
      <c r="D350" s="111"/>
      <c r="E350" s="111"/>
      <c r="F350" s="111"/>
      <c r="G350" s="111"/>
      <c r="H350" s="106">
        <f>I350+J350+K350</f>
        <v>362320200</v>
      </c>
      <c r="I350" s="106">
        <f>SUM(I351:I353)</f>
        <v>116849700</v>
      </c>
      <c r="J350" s="106">
        <f>SUM(J351:J353)</f>
        <v>134362800</v>
      </c>
      <c r="K350" s="106">
        <f>SUM(K351:K353)</f>
        <v>111107700</v>
      </c>
      <c r="L350" s="64">
        <f>SUM(H351:H353)</f>
        <v>362320200</v>
      </c>
      <c r="M350" s="43"/>
    </row>
    <row r="351" spans="1:14" ht="27" customHeight="1" x14ac:dyDescent="0.2">
      <c r="A351" s="126" t="s">
        <v>12</v>
      </c>
      <c r="B351" s="140">
        <v>9253</v>
      </c>
      <c r="C351" s="28"/>
      <c r="D351" s="28"/>
      <c r="E351" s="29"/>
      <c r="F351" s="29"/>
      <c r="G351" s="29"/>
      <c r="H351" s="68">
        <f>I351+J351+K351</f>
        <v>117149799.90000001</v>
      </c>
      <c r="I351" s="29">
        <f t="shared" ref="I351:K353" si="105">I347</f>
        <v>69975604.25</v>
      </c>
      <c r="J351" s="29">
        <f t="shared" si="105"/>
        <v>36693452.170000002</v>
      </c>
      <c r="K351" s="29">
        <f t="shared" si="105"/>
        <v>10480743.48</v>
      </c>
      <c r="L351" s="43"/>
      <c r="M351" s="43"/>
    </row>
    <row r="352" spans="1:14" ht="27" customHeight="1" x14ac:dyDescent="0.2">
      <c r="A352" s="81" t="s">
        <v>12</v>
      </c>
      <c r="B352" s="117" t="s">
        <v>146</v>
      </c>
      <c r="C352" s="11"/>
      <c r="D352" s="11"/>
      <c r="E352" s="8"/>
      <c r="F352" s="8"/>
      <c r="G352" s="8"/>
      <c r="H352" s="69">
        <f>I352+J352+K352</f>
        <v>18676150.100000001</v>
      </c>
      <c r="I352" s="8">
        <f t="shared" si="105"/>
        <v>2812445.75</v>
      </c>
      <c r="J352" s="8">
        <f t="shared" si="105"/>
        <v>7813547.8300000001</v>
      </c>
      <c r="K352" s="8">
        <f t="shared" si="105"/>
        <v>8050156.5199999996</v>
      </c>
      <c r="L352" s="43"/>
      <c r="M352" s="43"/>
    </row>
    <row r="353" spans="1:13" ht="27.75" customHeight="1" thickBot="1" x14ac:dyDescent="0.25">
      <c r="A353" s="9" t="s">
        <v>14</v>
      </c>
      <c r="B353" s="117" t="s">
        <v>145</v>
      </c>
      <c r="C353" s="11"/>
      <c r="D353" s="11"/>
      <c r="E353" s="8"/>
      <c r="F353" s="8"/>
      <c r="G353" s="8"/>
      <c r="H353" s="69">
        <f>I353+J353+K353</f>
        <v>226494250</v>
      </c>
      <c r="I353" s="8">
        <f t="shared" si="105"/>
        <v>44061650</v>
      </c>
      <c r="J353" s="8">
        <f t="shared" si="105"/>
        <v>89855800</v>
      </c>
      <c r="K353" s="8">
        <f t="shared" si="105"/>
        <v>92576800</v>
      </c>
      <c r="L353" s="43"/>
      <c r="M353" s="43"/>
    </row>
    <row r="354" spans="1:13" ht="30.75" customHeight="1" x14ac:dyDescent="0.25">
      <c r="A354" s="33"/>
      <c r="B354" s="393" t="s">
        <v>316</v>
      </c>
      <c r="C354" s="393"/>
      <c r="D354" s="393"/>
      <c r="E354" s="393"/>
      <c r="F354" s="393"/>
      <c r="G354" s="393"/>
      <c r="H354" s="393"/>
      <c r="I354" s="393"/>
      <c r="J354" s="393"/>
      <c r="K354" s="393"/>
      <c r="L354" s="20"/>
    </row>
    <row r="355" spans="1:13" ht="31.5" customHeight="1" x14ac:dyDescent="0.25">
      <c r="A355" s="385" t="s">
        <v>10</v>
      </c>
      <c r="B355" s="385"/>
      <c r="C355" s="385"/>
      <c r="D355" s="385"/>
      <c r="E355" s="385"/>
      <c r="F355" s="385"/>
      <c r="G355" s="244"/>
      <c r="H355" s="244"/>
      <c r="I355" s="394" t="s">
        <v>413</v>
      </c>
      <c r="J355" s="394"/>
      <c r="K355" s="394"/>
      <c r="L355" s="20"/>
    </row>
    <row r="356" spans="1:13" ht="10.5" customHeight="1" x14ac:dyDescent="0.2">
      <c r="A356" s="385"/>
      <c r="B356" s="385"/>
      <c r="C356" s="385"/>
      <c r="D356" s="385"/>
      <c r="E356" s="385"/>
      <c r="F356" s="385"/>
      <c r="G356" s="245"/>
      <c r="H356" s="245"/>
      <c r="I356" s="386"/>
      <c r="J356" s="386"/>
      <c r="K356" s="386"/>
      <c r="L356" s="20"/>
    </row>
    <row r="357" spans="1:13" ht="18" customHeight="1" x14ac:dyDescent="0.2">
      <c r="A357" s="381" t="s">
        <v>160</v>
      </c>
      <c r="B357" s="381"/>
      <c r="C357" s="381"/>
      <c r="D357" s="381"/>
      <c r="E357" s="381"/>
      <c r="F357" s="381"/>
      <c r="G357" s="233"/>
      <c r="H357" s="233"/>
      <c r="I357" s="387" t="s">
        <v>161</v>
      </c>
      <c r="J357" s="387"/>
      <c r="K357" s="387"/>
      <c r="L357" s="20"/>
    </row>
    <row r="358" spans="1:13" ht="10.5" customHeight="1" x14ac:dyDescent="0.2">
      <c r="A358" s="385"/>
      <c r="B358" s="385"/>
      <c r="C358" s="385"/>
      <c r="D358" s="385"/>
      <c r="E358" s="385"/>
      <c r="F358" s="385"/>
      <c r="G358" s="245"/>
      <c r="H358" s="245"/>
      <c r="I358" s="386"/>
      <c r="J358" s="386"/>
      <c r="K358" s="386"/>
      <c r="L358" s="20"/>
    </row>
    <row r="359" spans="1:13" ht="18.75" customHeight="1" x14ac:dyDescent="0.25">
      <c r="A359" s="381" t="s">
        <v>155</v>
      </c>
      <c r="B359" s="381"/>
      <c r="C359" s="381"/>
      <c r="D359" s="381"/>
      <c r="E359" s="381"/>
      <c r="F359" s="381"/>
      <c r="G359" s="234"/>
      <c r="H359" s="234"/>
      <c r="I359" s="382" t="s">
        <v>156</v>
      </c>
      <c r="J359" s="382"/>
      <c r="K359" s="382"/>
      <c r="L359" s="20"/>
    </row>
    <row r="360" spans="1:13" ht="15.75" x14ac:dyDescent="0.2">
      <c r="A360" s="383"/>
      <c r="B360" s="383"/>
      <c r="C360" s="383"/>
      <c r="D360" s="383"/>
      <c r="E360" s="383"/>
      <c r="F360" s="383"/>
      <c r="G360" s="246"/>
      <c r="H360" s="246"/>
      <c r="I360" s="384"/>
      <c r="J360" s="384"/>
      <c r="K360" s="384"/>
      <c r="L360" s="20"/>
    </row>
    <row r="361" spans="1:13" x14ac:dyDescent="0.2">
      <c r="A361" s="16"/>
      <c r="B361" s="17"/>
      <c r="C361" s="18"/>
      <c r="D361" s="18"/>
      <c r="E361" s="19"/>
      <c r="F361" s="19"/>
      <c r="G361" s="19"/>
      <c r="H361" s="19"/>
      <c r="I361" s="19"/>
      <c r="J361" s="19"/>
      <c r="K361" s="19"/>
      <c r="L361" s="20"/>
    </row>
    <row r="362" spans="1:13" x14ac:dyDescent="0.2">
      <c r="A362" s="16"/>
      <c r="B362" s="17"/>
      <c r="C362" s="18"/>
      <c r="D362" s="18"/>
      <c r="E362" s="19"/>
      <c r="F362" s="19"/>
      <c r="G362" s="19"/>
      <c r="H362" s="19"/>
      <c r="I362" s="19"/>
      <c r="J362" s="19"/>
      <c r="K362" s="19"/>
      <c r="L362" s="20"/>
    </row>
    <row r="363" spans="1:13" x14ac:dyDescent="0.2">
      <c r="A363" s="16"/>
      <c r="B363" s="17"/>
      <c r="C363" s="18"/>
      <c r="D363" s="18"/>
      <c r="E363" s="19"/>
      <c r="F363" s="19"/>
      <c r="G363" s="19"/>
      <c r="H363" s="19"/>
      <c r="I363" s="19"/>
      <c r="J363" s="19"/>
      <c r="K363" s="19"/>
      <c r="L363" s="20"/>
    </row>
    <row r="364" spans="1:13" x14ac:dyDescent="0.2">
      <c r="A364" s="16"/>
      <c r="B364" s="17"/>
      <c r="C364" s="18"/>
      <c r="D364" s="18"/>
      <c r="E364" s="19"/>
      <c r="F364" s="19"/>
      <c r="G364" s="19"/>
      <c r="H364" s="19"/>
      <c r="I364" s="19"/>
      <c r="J364" s="19"/>
      <c r="K364" s="19"/>
      <c r="L364" s="20"/>
    </row>
    <row r="365" spans="1:13" x14ac:dyDescent="0.2">
      <c r="A365" s="16"/>
      <c r="B365" s="17"/>
      <c r="C365" s="18"/>
      <c r="D365" s="18"/>
      <c r="E365" s="19"/>
      <c r="F365" s="19"/>
      <c r="G365" s="19"/>
      <c r="H365" s="19"/>
      <c r="I365" s="19"/>
      <c r="J365" s="19"/>
      <c r="K365" s="19"/>
      <c r="L365" s="20"/>
    </row>
    <row r="366" spans="1:13" x14ac:dyDescent="0.2">
      <c r="A366" s="16"/>
      <c r="B366" s="17"/>
      <c r="C366" s="18"/>
      <c r="D366" s="18"/>
      <c r="E366" s="19"/>
      <c r="F366" s="19"/>
      <c r="G366" s="19"/>
      <c r="H366" s="19"/>
      <c r="I366" s="19"/>
      <c r="J366" s="19"/>
      <c r="K366" s="19"/>
      <c r="L366" s="20"/>
    </row>
    <row r="367" spans="1:13" x14ac:dyDescent="0.2">
      <c r="A367" s="16"/>
      <c r="B367" s="17"/>
      <c r="C367" s="18"/>
      <c r="D367" s="18"/>
      <c r="E367" s="19"/>
      <c r="F367" s="19"/>
      <c r="G367" s="19"/>
      <c r="H367" s="19"/>
      <c r="I367" s="19"/>
      <c r="J367" s="19"/>
      <c r="K367" s="19"/>
      <c r="L367" s="20"/>
    </row>
    <row r="368" spans="1:13" x14ac:dyDescent="0.2">
      <c r="A368" s="16"/>
      <c r="B368" s="17"/>
      <c r="C368" s="18"/>
      <c r="D368" s="18"/>
      <c r="E368" s="19"/>
      <c r="F368" s="19"/>
      <c r="G368" s="19"/>
      <c r="H368" s="19"/>
      <c r="I368" s="19"/>
      <c r="J368" s="19"/>
      <c r="K368" s="19"/>
      <c r="L368" s="20"/>
    </row>
    <row r="369" spans="1:12" x14ac:dyDescent="0.2">
      <c r="A369" s="16"/>
      <c r="B369" s="17"/>
      <c r="C369" s="18"/>
      <c r="D369" s="18"/>
      <c r="E369" s="19"/>
      <c r="F369" s="19"/>
      <c r="G369" s="19"/>
      <c r="H369" s="19"/>
      <c r="I369" s="19"/>
      <c r="J369" s="19"/>
      <c r="K369" s="19"/>
      <c r="L369" s="20"/>
    </row>
    <row r="370" spans="1:12" x14ac:dyDescent="0.2">
      <c r="A370" s="16"/>
      <c r="B370" s="17"/>
      <c r="C370" s="18"/>
      <c r="D370" s="18"/>
      <c r="E370" s="19"/>
      <c r="F370" s="19"/>
      <c r="G370" s="19"/>
      <c r="H370" s="19"/>
      <c r="I370" s="19"/>
      <c r="J370" s="19"/>
      <c r="K370" s="19"/>
      <c r="L370" s="20"/>
    </row>
    <row r="371" spans="1:12" x14ac:dyDescent="0.2">
      <c r="A371" s="16"/>
      <c r="B371" s="17"/>
      <c r="C371" s="18"/>
      <c r="D371" s="18"/>
      <c r="E371" s="19"/>
      <c r="F371" s="19"/>
      <c r="G371" s="19"/>
      <c r="H371" s="19"/>
      <c r="I371" s="19"/>
      <c r="J371" s="19"/>
      <c r="K371" s="19"/>
      <c r="L371" s="20"/>
    </row>
    <row r="372" spans="1:12" x14ac:dyDescent="0.2">
      <c r="A372" s="16"/>
      <c r="B372" s="17"/>
      <c r="C372" s="18"/>
      <c r="D372" s="18"/>
      <c r="E372" s="19"/>
      <c r="F372" s="19"/>
      <c r="G372" s="19"/>
      <c r="H372" s="19"/>
      <c r="I372" s="19"/>
      <c r="J372" s="19"/>
      <c r="K372" s="19"/>
      <c r="L372" s="20"/>
    </row>
    <row r="373" spans="1:12" x14ac:dyDescent="0.2">
      <c r="A373" s="16"/>
      <c r="B373" s="17"/>
      <c r="C373" s="18"/>
      <c r="D373" s="18"/>
      <c r="E373" s="19"/>
      <c r="F373" s="19"/>
      <c r="G373" s="19"/>
      <c r="H373" s="19"/>
      <c r="I373" s="19"/>
      <c r="J373" s="19"/>
      <c r="K373" s="19"/>
      <c r="L373" s="20"/>
    </row>
    <row r="374" spans="1:12" x14ac:dyDescent="0.2">
      <c r="A374" s="16"/>
      <c r="B374" s="17"/>
      <c r="C374" s="18"/>
      <c r="D374" s="18"/>
      <c r="E374" s="19"/>
      <c r="F374" s="19"/>
      <c r="G374" s="19"/>
      <c r="H374" s="19"/>
      <c r="I374" s="19"/>
      <c r="J374" s="19"/>
      <c r="K374" s="19"/>
      <c r="L374" s="20"/>
    </row>
    <row r="375" spans="1:12" x14ac:dyDescent="0.2">
      <c r="A375" s="16"/>
      <c r="B375" s="17"/>
      <c r="C375" s="18"/>
      <c r="D375" s="18"/>
      <c r="E375" s="19"/>
      <c r="F375" s="19"/>
      <c r="G375" s="19"/>
      <c r="H375" s="19"/>
      <c r="I375" s="19"/>
      <c r="J375" s="19"/>
      <c r="K375" s="19"/>
      <c r="L375" s="20"/>
    </row>
    <row r="376" spans="1:12" x14ac:dyDescent="0.2">
      <c r="A376" s="16"/>
      <c r="B376" s="17"/>
      <c r="C376" s="18"/>
      <c r="D376" s="18"/>
      <c r="E376" s="19"/>
      <c r="F376" s="19"/>
      <c r="G376" s="19"/>
      <c r="H376" s="19"/>
      <c r="I376" s="19"/>
      <c r="J376" s="19"/>
      <c r="K376" s="19"/>
      <c r="L376" s="20"/>
    </row>
    <row r="377" spans="1:12" x14ac:dyDescent="0.2">
      <c r="A377" s="16"/>
      <c r="B377" s="17"/>
      <c r="C377" s="18"/>
      <c r="D377" s="18"/>
      <c r="E377" s="19"/>
      <c r="F377" s="19"/>
      <c r="G377" s="19"/>
      <c r="H377" s="19"/>
      <c r="I377" s="19"/>
      <c r="J377" s="19"/>
      <c r="K377" s="19"/>
      <c r="L377" s="20"/>
    </row>
    <row r="378" spans="1:12" x14ac:dyDescent="0.2">
      <c r="A378" s="16"/>
      <c r="B378" s="17"/>
      <c r="C378" s="18"/>
      <c r="D378" s="18"/>
      <c r="E378" s="19"/>
      <c r="F378" s="19"/>
      <c r="G378" s="19"/>
      <c r="H378" s="19"/>
      <c r="I378" s="19"/>
      <c r="J378" s="19"/>
      <c r="K378" s="19"/>
      <c r="L378" s="20"/>
    </row>
    <row r="379" spans="1:12" x14ac:dyDescent="0.2">
      <c r="A379" s="16"/>
      <c r="B379" s="17"/>
      <c r="C379" s="18"/>
      <c r="D379" s="18"/>
      <c r="E379" s="19"/>
      <c r="F379" s="19"/>
      <c r="G379" s="19"/>
      <c r="H379" s="19"/>
      <c r="I379" s="19"/>
      <c r="J379" s="19"/>
      <c r="K379" s="19"/>
      <c r="L379" s="20"/>
    </row>
    <row r="380" spans="1:12" x14ac:dyDescent="0.2">
      <c r="A380" s="16"/>
      <c r="B380" s="17"/>
      <c r="C380" s="18"/>
      <c r="D380" s="18"/>
      <c r="E380" s="19"/>
      <c r="F380" s="19"/>
      <c r="G380" s="19"/>
      <c r="H380" s="19"/>
      <c r="I380" s="19"/>
      <c r="J380" s="19"/>
      <c r="K380" s="19"/>
      <c r="L380" s="20"/>
    </row>
    <row r="381" spans="1:12" x14ac:dyDescent="0.2">
      <c r="A381" s="16"/>
      <c r="B381" s="17"/>
      <c r="C381" s="18"/>
      <c r="D381" s="18"/>
      <c r="E381" s="19"/>
      <c r="F381" s="19"/>
      <c r="G381" s="19"/>
      <c r="H381" s="19"/>
      <c r="I381" s="19"/>
      <c r="J381" s="19"/>
      <c r="K381" s="19"/>
      <c r="L381" s="20"/>
    </row>
    <row r="382" spans="1:12" x14ac:dyDescent="0.2">
      <c r="A382" s="16"/>
      <c r="B382" s="17"/>
      <c r="C382" s="18"/>
      <c r="D382" s="18"/>
      <c r="E382" s="19"/>
      <c r="F382" s="19"/>
      <c r="G382" s="19"/>
      <c r="H382" s="19"/>
      <c r="I382" s="19"/>
      <c r="J382" s="19"/>
      <c r="K382" s="19"/>
      <c r="L382" s="20"/>
    </row>
    <row r="383" spans="1:12" x14ac:dyDescent="0.2">
      <c r="A383" s="16"/>
      <c r="B383" s="17"/>
      <c r="C383" s="18"/>
      <c r="D383" s="18"/>
      <c r="E383" s="19"/>
      <c r="F383" s="19"/>
      <c r="G383" s="19"/>
      <c r="H383" s="19"/>
      <c r="I383" s="19"/>
      <c r="J383" s="19"/>
      <c r="K383" s="19"/>
      <c r="L383" s="20"/>
    </row>
    <row r="384" spans="1:12" x14ac:dyDescent="0.2">
      <c r="A384" s="16"/>
      <c r="B384" s="17"/>
      <c r="C384" s="18"/>
      <c r="D384" s="18"/>
      <c r="E384" s="19"/>
      <c r="F384" s="19"/>
      <c r="G384" s="19"/>
      <c r="H384" s="19"/>
      <c r="I384" s="19"/>
      <c r="J384" s="19"/>
      <c r="K384" s="19"/>
      <c r="L384" s="20"/>
    </row>
    <row r="385" spans="1:12" x14ac:dyDescent="0.2">
      <c r="A385" s="16"/>
      <c r="B385" s="17"/>
      <c r="C385" s="18"/>
      <c r="D385" s="18"/>
      <c r="E385" s="19"/>
      <c r="F385" s="19"/>
      <c r="G385" s="19"/>
      <c r="H385" s="19"/>
      <c r="I385" s="19"/>
      <c r="J385" s="19"/>
      <c r="K385" s="19"/>
      <c r="L385" s="20"/>
    </row>
    <row r="386" spans="1:12" x14ac:dyDescent="0.2">
      <c r="A386" s="16"/>
      <c r="B386" s="17"/>
      <c r="C386" s="18"/>
      <c r="D386" s="18"/>
      <c r="E386" s="19"/>
      <c r="F386" s="19"/>
      <c r="G386" s="19"/>
      <c r="H386" s="19"/>
      <c r="I386" s="19"/>
      <c r="J386" s="19"/>
      <c r="K386" s="19"/>
      <c r="L386" s="20"/>
    </row>
    <row r="387" spans="1:12" x14ac:dyDescent="0.2">
      <c r="A387" s="16"/>
      <c r="B387" s="17"/>
      <c r="C387" s="18"/>
      <c r="D387" s="18"/>
      <c r="E387" s="19"/>
      <c r="F387" s="19"/>
      <c r="G387" s="19"/>
      <c r="H387" s="19"/>
      <c r="I387" s="19"/>
      <c r="J387" s="19"/>
      <c r="K387" s="19"/>
      <c r="L387" s="20"/>
    </row>
    <row r="388" spans="1:12" x14ac:dyDescent="0.2">
      <c r="A388" s="16"/>
      <c r="B388" s="17"/>
      <c r="C388" s="18"/>
      <c r="D388" s="18"/>
      <c r="E388" s="19"/>
      <c r="F388" s="19"/>
      <c r="G388" s="19"/>
      <c r="H388" s="19"/>
      <c r="I388" s="19"/>
      <c r="J388" s="19"/>
      <c r="K388" s="19"/>
      <c r="L388" s="20"/>
    </row>
    <row r="389" spans="1:12" x14ac:dyDescent="0.2">
      <c r="A389" s="16"/>
      <c r="B389" s="17"/>
      <c r="C389" s="18"/>
      <c r="D389" s="18"/>
      <c r="E389" s="19"/>
      <c r="F389" s="19"/>
      <c r="G389" s="19"/>
      <c r="H389" s="19"/>
      <c r="I389" s="19"/>
      <c r="J389" s="19"/>
      <c r="K389" s="19"/>
      <c r="L389" s="20"/>
    </row>
    <row r="390" spans="1:12" x14ac:dyDescent="0.2">
      <c r="A390" s="16"/>
      <c r="B390" s="17"/>
      <c r="C390" s="18"/>
      <c r="D390" s="18"/>
      <c r="E390" s="19"/>
      <c r="F390" s="19"/>
      <c r="G390" s="19"/>
      <c r="H390" s="19"/>
      <c r="I390" s="19"/>
      <c r="J390" s="19"/>
      <c r="K390" s="19"/>
      <c r="L390" s="20"/>
    </row>
    <row r="391" spans="1:12" x14ac:dyDescent="0.2">
      <c r="A391" s="16"/>
      <c r="B391" s="17"/>
      <c r="C391" s="18"/>
      <c r="D391" s="18"/>
      <c r="E391" s="19"/>
      <c r="F391" s="19"/>
      <c r="G391" s="19"/>
      <c r="H391" s="19"/>
      <c r="I391" s="19"/>
      <c r="J391" s="19"/>
      <c r="K391" s="19"/>
      <c r="L391" s="20"/>
    </row>
    <row r="392" spans="1:12" x14ac:dyDescent="0.2">
      <c r="A392" s="16"/>
      <c r="B392" s="17"/>
      <c r="C392" s="18"/>
      <c r="D392" s="18"/>
      <c r="E392" s="19"/>
      <c r="F392" s="19"/>
      <c r="G392" s="19"/>
      <c r="H392" s="19"/>
      <c r="I392" s="19"/>
      <c r="J392" s="19"/>
      <c r="K392" s="19"/>
      <c r="L392" s="20"/>
    </row>
    <row r="393" spans="1:12" x14ac:dyDescent="0.2">
      <c r="A393" s="16"/>
      <c r="B393" s="17"/>
      <c r="C393" s="18"/>
      <c r="D393" s="18"/>
      <c r="E393" s="19"/>
      <c r="F393" s="19"/>
      <c r="G393" s="19"/>
      <c r="H393" s="19"/>
      <c r="I393" s="19"/>
      <c r="J393" s="19"/>
      <c r="K393" s="19"/>
      <c r="L393" s="20"/>
    </row>
    <row r="394" spans="1:12" x14ac:dyDescent="0.2">
      <c r="A394" s="16"/>
      <c r="B394" s="17"/>
      <c r="C394" s="18"/>
      <c r="D394" s="18"/>
      <c r="E394" s="19"/>
      <c r="F394" s="19"/>
      <c r="G394" s="19"/>
      <c r="H394" s="19"/>
      <c r="I394" s="19"/>
      <c r="J394" s="19"/>
      <c r="K394" s="19"/>
      <c r="L394" s="20"/>
    </row>
    <row r="395" spans="1:12" x14ac:dyDescent="0.2">
      <c r="A395" s="16"/>
      <c r="B395" s="17"/>
      <c r="C395" s="18"/>
      <c r="D395" s="18"/>
      <c r="E395" s="19"/>
      <c r="F395" s="19"/>
      <c r="G395" s="19"/>
      <c r="H395" s="19"/>
      <c r="I395" s="19"/>
      <c r="J395" s="19"/>
      <c r="K395" s="19"/>
      <c r="L395" s="20"/>
    </row>
    <row r="396" spans="1:12" x14ac:dyDescent="0.2">
      <c r="A396" s="16"/>
      <c r="B396" s="17"/>
      <c r="C396" s="18"/>
      <c r="D396" s="18"/>
      <c r="E396" s="19"/>
      <c r="F396" s="19"/>
      <c r="G396" s="19"/>
      <c r="H396" s="19"/>
      <c r="I396" s="19"/>
      <c r="J396" s="19"/>
      <c r="K396" s="19"/>
      <c r="L396" s="20"/>
    </row>
    <row r="397" spans="1:12" x14ac:dyDescent="0.2">
      <c r="A397" s="16"/>
      <c r="B397" s="17"/>
      <c r="C397" s="18"/>
      <c r="D397" s="18"/>
      <c r="E397" s="19"/>
      <c r="F397" s="19"/>
      <c r="G397" s="19"/>
      <c r="H397" s="19"/>
      <c r="I397" s="19"/>
      <c r="J397" s="19"/>
      <c r="K397" s="19"/>
      <c r="L397" s="20"/>
    </row>
    <row r="398" spans="1:12" x14ac:dyDescent="0.2">
      <c r="A398" s="16"/>
      <c r="B398" s="17"/>
      <c r="C398" s="18"/>
      <c r="D398" s="18"/>
      <c r="E398" s="19"/>
      <c r="F398" s="19"/>
      <c r="G398" s="19"/>
      <c r="H398" s="19"/>
      <c r="I398" s="19"/>
      <c r="J398" s="19"/>
      <c r="K398" s="19"/>
      <c r="L398" s="20"/>
    </row>
    <row r="399" spans="1:12" x14ac:dyDescent="0.2">
      <c r="A399" s="16"/>
      <c r="B399" s="17"/>
      <c r="C399" s="18"/>
      <c r="D399" s="18"/>
      <c r="E399" s="19"/>
      <c r="F399" s="19"/>
      <c r="G399" s="19"/>
      <c r="H399" s="19"/>
      <c r="I399" s="19"/>
      <c r="J399" s="19"/>
      <c r="K399" s="19"/>
      <c r="L399" s="20"/>
    </row>
    <row r="400" spans="1:12" x14ac:dyDescent="0.2">
      <c r="A400" s="16"/>
      <c r="B400" s="17"/>
      <c r="C400" s="18"/>
      <c r="D400" s="18"/>
      <c r="E400" s="19"/>
      <c r="F400" s="19"/>
      <c r="G400" s="19"/>
      <c r="H400" s="19"/>
      <c r="I400" s="19"/>
      <c r="J400" s="19"/>
      <c r="K400" s="19"/>
      <c r="L400" s="20"/>
    </row>
    <row r="401" spans="1:12" x14ac:dyDescent="0.2">
      <c r="A401" s="16"/>
      <c r="B401" s="17"/>
      <c r="C401" s="18"/>
      <c r="D401" s="18"/>
      <c r="E401" s="19"/>
      <c r="F401" s="19"/>
      <c r="G401" s="19"/>
      <c r="H401" s="19"/>
      <c r="I401" s="19"/>
      <c r="J401" s="19"/>
      <c r="K401" s="19"/>
      <c r="L401" s="20"/>
    </row>
    <row r="402" spans="1:12" x14ac:dyDescent="0.2">
      <c r="A402" s="16"/>
      <c r="B402" s="17"/>
      <c r="C402" s="18"/>
      <c r="D402" s="18"/>
      <c r="E402" s="19"/>
      <c r="F402" s="19"/>
      <c r="G402" s="19"/>
      <c r="H402" s="19"/>
      <c r="I402" s="19"/>
      <c r="J402" s="19"/>
      <c r="K402" s="19"/>
      <c r="L402" s="20"/>
    </row>
    <row r="403" spans="1:12" x14ac:dyDescent="0.2">
      <c r="A403" s="16"/>
      <c r="B403" s="17"/>
      <c r="C403" s="18"/>
      <c r="D403" s="18"/>
      <c r="E403" s="19"/>
      <c r="F403" s="19"/>
      <c r="G403" s="19"/>
      <c r="H403" s="19"/>
      <c r="I403" s="19"/>
      <c r="J403" s="19"/>
      <c r="K403" s="19"/>
      <c r="L403" s="20"/>
    </row>
    <row r="404" spans="1:12" x14ac:dyDescent="0.2">
      <c r="A404" s="16"/>
      <c r="B404" s="17"/>
      <c r="C404" s="18"/>
      <c r="D404" s="18"/>
      <c r="E404" s="19"/>
      <c r="F404" s="19"/>
      <c r="G404" s="19"/>
      <c r="H404" s="19"/>
      <c r="I404" s="19"/>
      <c r="J404" s="19"/>
      <c r="K404" s="19"/>
      <c r="L404" s="20"/>
    </row>
    <row r="405" spans="1:12" x14ac:dyDescent="0.2">
      <c r="A405" s="16"/>
      <c r="B405" s="17"/>
      <c r="C405" s="18"/>
      <c r="D405" s="18"/>
      <c r="E405" s="19"/>
      <c r="F405" s="19"/>
      <c r="G405" s="19"/>
      <c r="H405" s="19"/>
      <c r="I405" s="19"/>
      <c r="J405" s="19"/>
      <c r="K405" s="19"/>
      <c r="L405" s="20"/>
    </row>
    <row r="406" spans="1:12" x14ac:dyDescent="0.2">
      <c r="A406" s="16"/>
      <c r="B406" s="17"/>
      <c r="C406" s="18"/>
      <c r="D406" s="18"/>
      <c r="E406" s="19"/>
      <c r="F406" s="19"/>
      <c r="G406" s="19"/>
      <c r="H406" s="19"/>
      <c r="I406" s="19"/>
      <c r="J406" s="19"/>
      <c r="K406" s="19"/>
      <c r="L406" s="20"/>
    </row>
    <row r="407" spans="1:12" x14ac:dyDescent="0.2">
      <c r="A407" s="16"/>
      <c r="B407" s="17"/>
      <c r="C407" s="18"/>
      <c r="D407" s="18"/>
      <c r="E407" s="19"/>
      <c r="F407" s="19"/>
      <c r="G407" s="19"/>
      <c r="H407" s="19"/>
      <c r="I407" s="19"/>
      <c r="J407" s="19"/>
      <c r="K407" s="19"/>
      <c r="L407" s="20"/>
    </row>
    <row r="408" spans="1:12" x14ac:dyDescent="0.2">
      <c r="A408" s="16"/>
      <c r="B408" s="17"/>
      <c r="C408" s="18"/>
      <c r="D408" s="18"/>
      <c r="E408" s="19"/>
      <c r="F408" s="19"/>
      <c r="G408" s="19"/>
      <c r="H408" s="19"/>
      <c r="I408" s="19"/>
      <c r="J408" s="19"/>
      <c r="K408" s="19"/>
      <c r="L408" s="20"/>
    </row>
    <row r="409" spans="1:12" x14ac:dyDescent="0.2">
      <c r="A409" s="16"/>
      <c r="B409" s="17"/>
      <c r="C409" s="18"/>
      <c r="D409" s="18"/>
      <c r="E409" s="19"/>
      <c r="F409" s="19"/>
      <c r="G409" s="19"/>
      <c r="H409" s="19"/>
      <c r="I409" s="19"/>
      <c r="J409" s="19"/>
      <c r="K409" s="19"/>
      <c r="L409" s="20"/>
    </row>
    <row r="410" spans="1:12" x14ac:dyDescent="0.2">
      <c r="A410" s="16"/>
      <c r="B410" s="17"/>
      <c r="C410" s="18"/>
      <c r="D410" s="18"/>
      <c r="E410" s="19"/>
      <c r="F410" s="19"/>
      <c r="G410" s="19"/>
      <c r="H410" s="19"/>
      <c r="I410" s="19"/>
      <c r="J410" s="19"/>
      <c r="K410" s="19"/>
      <c r="L410" s="20"/>
    </row>
    <row r="411" spans="1:12" x14ac:dyDescent="0.2">
      <c r="A411" s="16"/>
      <c r="B411" s="17"/>
      <c r="C411" s="18"/>
      <c r="D411" s="18"/>
      <c r="E411" s="19"/>
      <c r="F411" s="19"/>
      <c r="G411" s="19"/>
      <c r="H411" s="19"/>
      <c r="I411" s="19"/>
      <c r="J411" s="19"/>
      <c r="K411" s="19"/>
      <c r="L411" s="20"/>
    </row>
    <row r="412" spans="1:12" x14ac:dyDescent="0.2">
      <c r="A412" s="16"/>
      <c r="B412" s="17"/>
      <c r="C412" s="18"/>
      <c r="D412" s="18"/>
      <c r="E412" s="19"/>
      <c r="F412" s="19"/>
      <c r="G412" s="19"/>
      <c r="H412" s="19"/>
      <c r="I412" s="19"/>
      <c r="J412" s="19"/>
      <c r="K412" s="19"/>
      <c r="L412" s="20"/>
    </row>
    <row r="413" spans="1:12" x14ac:dyDescent="0.2">
      <c r="A413" s="16"/>
      <c r="B413" s="17"/>
      <c r="C413" s="18"/>
      <c r="D413" s="18"/>
      <c r="E413" s="19"/>
      <c r="F413" s="19"/>
      <c r="G413" s="19"/>
      <c r="H413" s="19"/>
      <c r="I413" s="19"/>
      <c r="J413" s="19"/>
      <c r="K413" s="19"/>
      <c r="L413" s="20"/>
    </row>
    <row r="414" spans="1:12" x14ac:dyDescent="0.2">
      <c r="A414" s="16"/>
      <c r="B414" s="17"/>
      <c r="C414" s="18"/>
      <c r="D414" s="18"/>
      <c r="E414" s="19"/>
      <c r="F414" s="19"/>
      <c r="G414" s="19"/>
      <c r="H414" s="19"/>
      <c r="I414" s="19"/>
      <c r="J414" s="19"/>
      <c r="K414" s="19"/>
      <c r="L414" s="20"/>
    </row>
    <row r="415" spans="1:12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2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20"/>
      <c r="B452" s="20"/>
      <c r="C452" s="20"/>
      <c r="D452" s="20"/>
      <c r="E452" s="21"/>
      <c r="F452" s="21"/>
      <c r="G452" s="21"/>
      <c r="H452" s="21"/>
      <c r="I452" s="21"/>
      <c r="J452" s="21"/>
      <c r="K452" s="21"/>
      <c r="L452" s="20"/>
    </row>
  </sheetData>
  <mergeCells count="38">
    <mergeCell ref="G2:K2"/>
    <mergeCell ref="A3:K3"/>
    <mergeCell ref="B4:I4"/>
    <mergeCell ref="A5:A6"/>
    <mergeCell ref="B5:B6"/>
    <mergeCell ref="C5:C6"/>
    <mergeCell ref="D5:D6"/>
    <mergeCell ref="E5:E6"/>
    <mergeCell ref="F5:F6"/>
    <mergeCell ref="I355:K355"/>
    <mergeCell ref="A339:K339"/>
    <mergeCell ref="G5:G6"/>
    <mergeCell ref="H5:H6"/>
    <mergeCell ref="I5:K5"/>
    <mergeCell ref="A16:K16"/>
    <mergeCell ref="A17:K17"/>
    <mergeCell ref="A57:K57"/>
    <mergeCell ref="A85:K85"/>
    <mergeCell ref="A138:K138"/>
    <mergeCell ref="A139:K139"/>
    <mergeCell ref="A255:B255"/>
    <mergeCell ref="A297:B297"/>
    <mergeCell ref="G1:K1"/>
    <mergeCell ref="A359:F359"/>
    <mergeCell ref="I359:K359"/>
    <mergeCell ref="A360:F360"/>
    <mergeCell ref="I360:K360"/>
    <mergeCell ref="A356:F356"/>
    <mergeCell ref="I356:K356"/>
    <mergeCell ref="A357:F357"/>
    <mergeCell ref="I357:K357"/>
    <mergeCell ref="A358:F358"/>
    <mergeCell ref="I358:K358"/>
    <mergeCell ref="A340:K340"/>
    <mergeCell ref="A346:B346"/>
    <mergeCell ref="A350:B350"/>
    <mergeCell ref="B354:K354"/>
    <mergeCell ref="A355:F355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1" manualBreakCount="11">
    <brk id="15" max="10" man="1"/>
    <brk id="34" max="10" man="1"/>
    <brk id="87" max="10" man="1"/>
    <brk id="160" max="10" man="1"/>
    <brk id="192" max="10" man="1"/>
    <brk id="208" max="10" man="1"/>
    <brk id="246" max="10" man="1"/>
    <brk id="257" max="10" man="1"/>
    <brk id="285" max="10" man="1"/>
    <brk id="299" max="10" man="1"/>
    <brk id="3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Колесников</cp:lastModifiedBy>
  <cp:lastPrinted>2024-03-06T08:39:56Z</cp:lastPrinted>
  <dcterms:created xsi:type="dcterms:W3CDTF">2014-12-30T07:03:20Z</dcterms:created>
  <dcterms:modified xsi:type="dcterms:W3CDTF">2024-03-06T08:41:30Z</dcterms:modified>
</cp:coreProperties>
</file>