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4400" windowHeight="12720"/>
  </bookViews>
  <sheets>
    <sheet name="Перечень " sheetId="6" r:id="rId1"/>
    <sheet name="Изменения" sheetId="7" state="hidden" r:id="rId2"/>
    <sheet name="Лист1" sheetId="8" state="hidden" r:id="rId3"/>
    <sheet name="Лист2" sheetId="9" state="hidden" r:id="rId4"/>
  </sheets>
  <definedNames>
    <definedName name="_xlnm.Print_Titles" localSheetId="1">Изменения!$2:$3</definedName>
    <definedName name="_xlnm.Print_Titles" localSheetId="0">'Перечень '!$5:$6</definedName>
    <definedName name="_xlnm.Print_Area" localSheetId="1">Изменения!$A$1:$F$30</definedName>
    <definedName name="_xlnm.Print_Area" localSheetId="0">'Перечень '!$A$1:$K$403</definedName>
  </definedNames>
  <calcPr calcId="144525"/>
</workbook>
</file>

<file path=xl/calcChain.xml><?xml version="1.0" encoding="utf-8"?>
<calcChain xmlns="http://schemas.openxmlformats.org/spreadsheetml/2006/main">
  <c r="I118" i="6" l="1"/>
  <c r="I326" i="6" l="1"/>
  <c r="I259" i="6"/>
  <c r="H259" i="6" s="1"/>
  <c r="I262" i="6"/>
  <c r="K138" i="6" l="1"/>
  <c r="J138" i="6"/>
  <c r="I138" i="6"/>
  <c r="K126" i="6"/>
  <c r="J126" i="6"/>
  <c r="K113" i="6"/>
  <c r="J113" i="6"/>
  <c r="I113" i="6"/>
  <c r="I109" i="6"/>
  <c r="I125" i="6"/>
  <c r="N125" i="6" s="1"/>
  <c r="I123" i="6"/>
  <c r="I121" i="6"/>
  <c r="I119" i="6"/>
  <c r="K322" i="6" l="1"/>
  <c r="K372" i="6" s="1"/>
  <c r="J322" i="6"/>
  <c r="J372" i="6" s="1"/>
  <c r="I322" i="6"/>
  <c r="H322" i="6" s="1"/>
  <c r="K318" i="6"/>
  <c r="K368" i="6" s="1"/>
  <c r="J318" i="6"/>
  <c r="J368" i="6" s="1"/>
  <c r="I318" i="6"/>
  <c r="I368" i="6" s="1"/>
  <c r="I372" i="6"/>
  <c r="K248" i="6"/>
  <c r="H256" i="6"/>
  <c r="H252" i="6"/>
  <c r="J255" i="6"/>
  <c r="I255" i="6"/>
  <c r="I248" i="6" s="1"/>
  <c r="J250" i="6"/>
  <c r="I250" i="6"/>
  <c r="K66" i="6"/>
  <c r="K153" i="6" s="1"/>
  <c r="K65" i="6"/>
  <c r="K152" i="6" s="1"/>
  <c r="I66" i="6"/>
  <c r="I153" i="6" s="1"/>
  <c r="I65" i="6"/>
  <c r="I152" i="6" s="1"/>
  <c r="J40" i="6"/>
  <c r="H40" i="6" s="1"/>
  <c r="I38" i="6"/>
  <c r="J39" i="6"/>
  <c r="J65" i="6" s="1"/>
  <c r="J152" i="6" s="1"/>
  <c r="K38" i="6"/>
  <c r="G38" i="6"/>
  <c r="J66" i="6" l="1"/>
  <c r="H66" i="6" s="1"/>
  <c r="H318" i="6"/>
  <c r="J38" i="6"/>
  <c r="H38" i="6" s="1"/>
  <c r="H39" i="6"/>
  <c r="H372" i="6"/>
  <c r="H368" i="6"/>
  <c r="J153" i="6"/>
  <c r="H153" i="6" s="1"/>
  <c r="H65" i="6"/>
  <c r="H152" i="6"/>
  <c r="K284" i="6" l="1"/>
  <c r="J284" i="6"/>
  <c r="H117" i="6" l="1"/>
  <c r="K116" i="6"/>
  <c r="J116" i="6"/>
  <c r="I116" i="6"/>
  <c r="I115" i="6"/>
  <c r="H116" i="6" l="1"/>
  <c r="I124" i="6"/>
  <c r="H123" i="6"/>
  <c r="I120" i="6"/>
  <c r="K124" i="6"/>
  <c r="J124" i="6"/>
  <c r="K122" i="6"/>
  <c r="J122" i="6"/>
  <c r="H121" i="6"/>
  <c r="K120" i="6"/>
  <c r="J120" i="6"/>
  <c r="J127" i="6"/>
  <c r="K127" i="6"/>
  <c r="K321" i="6"/>
  <c r="K371" i="6" s="1"/>
  <c r="J321" i="6"/>
  <c r="J371" i="6" s="1"/>
  <c r="I321" i="6"/>
  <c r="I371" i="6" s="1"/>
  <c r="K317" i="6"/>
  <c r="K367" i="6" s="1"/>
  <c r="J317" i="6"/>
  <c r="J367" i="6" s="1"/>
  <c r="I317" i="6"/>
  <c r="H254" i="6"/>
  <c r="H251" i="6"/>
  <c r="H120" i="6" l="1"/>
  <c r="H125" i="6"/>
  <c r="H371" i="6"/>
  <c r="H317" i="6"/>
  <c r="I367" i="6"/>
  <c r="H367" i="6" s="1"/>
  <c r="H124" i="6"/>
  <c r="I122" i="6"/>
  <c r="H122" i="6" s="1"/>
  <c r="H321" i="6"/>
  <c r="G186" i="6"/>
  <c r="I158" i="6" l="1"/>
  <c r="I195" i="6"/>
  <c r="I284" i="6" s="1"/>
  <c r="I387" i="6" l="1"/>
  <c r="K68" i="6"/>
  <c r="K170" i="6" s="1"/>
  <c r="J68" i="6"/>
  <c r="J170" i="6" s="1"/>
  <c r="K67" i="6"/>
  <c r="K169" i="6" s="1"/>
  <c r="J67" i="6"/>
  <c r="J169" i="6" s="1"/>
  <c r="I68" i="6"/>
  <c r="I170" i="6" s="1"/>
  <c r="I67" i="6"/>
  <c r="I169" i="6" s="1"/>
  <c r="H51" i="6"/>
  <c r="H50" i="6"/>
  <c r="K49" i="6"/>
  <c r="J49" i="6"/>
  <c r="I49" i="6"/>
  <c r="G49" i="6"/>
  <c r="K48" i="6"/>
  <c r="J48" i="6"/>
  <c r="H49" i="6" l="1"/>
  <c r="H68" i="6"/>
  <c r="I48" i="6"/>
  <c r="H48" i="6" s="1"/>
  <c r="H67" i="6"/>
  <c r="I211" i="6" l="1"/>
  <c r="I210" i="6"/>
  <c r="J249" i="6" l="1"/>
  <c r="I225" i="6" l="1"/>
  <c r="O227" i="6" s="1"/>
  <c r="J253" i="6" l="1"/>
  <c r="J248" i="6" s="1"/>
  <c r="K304" i="6"/>
  <c r="K354" i="6" s="1"/>
  <c r="J304" i="6"/>
  <c r="J354" i="6" s="1"/>
  <c r="I304" i="6"/>
  <c r="I354" i="6" s="1"/>
  <c r="K224" i="6"/>
  <c r="J224" i="6"/>
  <c r="I224" i="6"/>
  <c r="H226" i="6"/>
  <c r="H354" i="6" l="1"/>
  <c r="H304" i="6"/>
  <c r="K286" i="6"/>
  <c r="K336" i="6" s="1"/>
  <c r="J286" i="6"/>
  <c r="J336" i="6" s="1"/>
  <c r="I286" i="6"/>
  <c r="I336" i="6" s="1"/>
  <c r="I191" i="6"/>
  <c r="H192" i="6"/>
  <c r="H336" i="6" l="1"/>
  <c r="H286" i="6"/>
  <c r="I216" i="6"/>
  <c r="I213" i="6"/>
  <c r="K57" i="6" l="1"/>
  <c r="K144" i="6" s="1"/>
  <c r="K56" i="6"/>
  <c r="K143" i="6" s="1"/>
  <c r="J57" i="6"/>
  <c r="J144" i="6" s="1"/>
  <c r="J56" i="6"/>
  <c r="J143" i="6" s="1"/>
  <c r="I57" i="6"/>
  <c r="I144" i="6" s="1"/>
  <c r="I56" i="6"/>
  <c r="I143" i="6" s="1"/>
  <c r="H25" i="6"/>
  <c r="I23" i="6"/>
  <c r="I20" i="6"/>
  <c r="H22" i="6"/>
  <c r="H143" i="6" l="1"/>
  <c r="H144" i="6"/>
  <c r="H56" i="6"/>
  <c r="H57" i="6"/>
  <c r="F27" i="7" l="1"/>
  <c r="F23" i="7"/>
  <c r="F19" i="7" s="1"/>
  <c r="F21" i="7"/>
  <c r="K324" i="6" l="1"/>
  <c r="K374" i="6" s="1"/>
  <c r="J324" i="6"/>
  <c r="J374" i="6" s="1"/>
  <c r="I324" i="6"/>
  <c r="H261" i="6"/>
  <c r="H324" i="6" l="1"/>
  <c r="I374" i="6"/>
  <c r="H374" i="6" s="1"/>
  <c r="I243" i="6" l="1"/>
  <c r="E28" i="7" l="1"/>
  <c r="C30" i="7"/>
  <c r="C26" i="7"/>
  <c r="E26" i="7" s="1"/>
  <c r="C21" i="7"/>
  <c r="E21" i="7" s="1"/>
  <c r="C23" i="7"/>
  <c r="E23" i="7" s="1"/>
  <c r="E22" i="7"/>
  <c r="E20" i="7"/>
  <c r="E18" i="7"/>
  <c r="C17" i="7"/>
  <c r="E17" i="7" s="1"/>
  <c r="E11" i="7"/>
  <c r="E10" i="7"/>
  <c r="C12" i="7"/>
  <c r="E12" i="7" s="1"/>
  <c r="C6" i="7"/>
  <c r="E7" i="7"/>
  <c r="E8" i="7"/>
  <c r="C29" i="7"/>
  <c r="D27" i="7"/>
  <c r="C25" i="7"/>
  <c r="E25" i="7" s="1"/>
  <c r="D24" i="7"/>
  <c r="C16" i="7"/>
  <c r="E16" i="7" s="1"/>
  <c r="C15" i="7"/>
  <c r="C14" i="7"/>
  <c r="E14" i="7" s="1"/>
  <c r="D13" i="7"/>
  <c r="D9" i="7"/>
  <c r="D6" i="7"/>
  <c r="K287" i="6"/>
  <c r="K337" i="6" s="1"/>
  <c r="J287" i="6"/>
  <c r="J337" i="6" s="1"/>
  <c r="I287" i="6"/>
  <c r="I337" i="6" s="1"/>
  <c r="H287" i="6" l="1"/>
  <c r="H169" i="6"/>
  <c r="E30" i="7"/>
  <c r="E29" i="7"/>
  <c r="E27" i="7" s="1"/>
  <c r="E24" i="7"/>
  <c r="E15" i="7"/>
  <c r="E19" i="7"/>
  <c r="E6" i="7"/>
  <c r="E9" i="7"/>
  <c r="C27" i="7"/>
  <c r="C19" i="7"/>
  <c r="C9" i="7"/>
  <c r="C13" i="7"/>
  <c r="C24" i="7"/>
  <c r="D19" i="7"/>
  <c r="H337" i="6"/>
  <c r="I389" i="6"/>
  <c r="I388" i="6"/>
  <c r="E13" i="7" l="1"/>
  <c r="I280" i="6"/>
  <c r="I190" i="6"/>
  <c r="H193" i="6"/>
  <c r="I21" i="6"/>
  <c r="J37" i="6"/>
  <c r="I24" i="6"/>
  <c r="I129" i="6"/>
  <c r="I130" i="6"/>
  <c r="K105" i="6"/>
  <c r="K166" i="6" s="1"/>
  <c r="J105" i="6"/>
  <c r="J166" i="6" s="1"/>
  <c r="K103" i="6"/>
  <c r="K164" i="6" s="1"/>
  <c r="J103" i="6"/>
  <c r="J164" i="6" s="1"/>
  <c r="I103" i="6"/>
  <c r="I164" i="6" s="1"/>
  <c r="K101" i="6"/>
  <c r="J101" i="6"/>
  <c r="J162" i="6" s="1"/>
  <c r="K99" i="6"/>
  <c r="K160" i="6" s="1"/>
  <c r="J99" i="6"/>
  <c r="J160" i="6" s="1"/>
  <c r="I105" i="6"/>
  <c r="I166" i="6" s="1"/>
  <c r="I101" i="6"/>
  <c r="I162" i="6" s="1"/>
  <c r="I99" i="6"/>
  <c r="I80" i="6"/>
  <c r="H82" i="6"/>
  <c r="I85" i="6"/>
  <c r="H87" i="6"/>
  <c r="H77" i="6"/>
  <c r="H91" i="6"/>
  <c r="I37" i="6"/>
  <c r="H103" i="6" l="1"/>
  <c r="H101" i="6"/>
  <c r="H166" i="6"/>
  <c r="K162" i="6"/>
  <c r="H99" i="6"/>
  <c r="I160" i="6"/>
  <c r="H160" i="6" s="1"/>
  <c r="H164" i="6"/>
  <c r="H162" i="6"/>
  <c r="H105" i="6"/>
  <c r="G94" i="6"/>
  <c r="G89" i="6"/>
  <c r="G85" i="6"/>
  <c r="G80" i="6"/>
  <c r="G75" i="6"/>
  <c r="K69" i="6" l="1"/>
  <c r="K171" i="6" s="1"/>
  <c r="J69" i="6"/>
  <c r="J171" i="6" s="1"/>
  <c r="I69" i="6"/>
  <c r="I171" i="6" s="1"/>
  <c r="H47" i="6"/>
  <c r="K46" i="6"/>
  <c r="J46" i="6"/>
  <c r="I46" i="6"/>
  <c r="H46" i="6" l="1"/>
  <c r="G46" i="6" s="1"/>
  <c r="E46" i="6" s="1"/>
  <c r="H171" i="6"/>
  <c r="H69" i="6"/>
  <c r="I76" i="6" l="1"/>
  <c r="I75" i="6" s="1"/>
  <c r="I128" i="6" l="1"/>
  <c r="K137" i="6"/>
  <c r="K157" i="6" s="1"/>
  <c r="J137" i="6"/>
  <c r="J157" i="6" s="1"/>
  <c r="I137" i="6"/>
  <c r="H132" i="6"/>
  <c r="K131" i="6"/>
  <c r="J131" i="6"/>
  <c r="I131" i="6"/>
  <c r="K136" i="6"/>
  <c r="K11" i="6" s="1"/>
  <c r="J136" i="6"/>
  <c r="K135" i="6"/>
  <c r="K155" i="6" s="1"/>
  <c r="J135" i="6"/>
  <c r="J155" i="6" s="1"/>
  <c r="K134" i="6"/>
  <c r="K154" i="6" s="1"/>
  <c r="J134" i="6"/>
  <c r="J154" i="6" s="1"/>
  <c r="I136" i="6"/>
  <c r="I135" i="6"/>
  <c r="H135" i="6" s="1"/>
  <c r="K156" i="6"/>
  <c r="H130" i="6"/>
  <c r="H129" i="6"/>
  <c r="K106" i="6"/>
  <c r="K167" i="6" s="1"/>
  <c r="J106" i="6"/>
  <c r="J167" i="6" s="1"/>
  <c r="I106" i="6"/>
  <c r="I167" i="6" s="1"/>
  <c r="K94" i="6"/>
  <c r="J94" i="6"/>
  <c r="I94" i="6"/>
  <c r="H95" i="6"/>
  <c r="I90" i="6"/>
  <c r="I89" i="6" s="1"/>
  <c r="K100" i="6"/>
  <c r="K161" i="6" s="1"/>
  <c r="J100" i="6"/>
  <c r="J161" i="6" s="1"/>
  <c r="I100" i="6"/>
  <c r="I161" i="6" s="1"/>
  <c r="H86" i="6"/>
  <c r="K98" i="6"/>
  <c r="K159" i="6" s="1"/>
  <c r="J98" i="6"/>
  <c r="J159" i="6" s="1"/>
  <c r="I98" i="6"/>
  <c r="I159" i="6" s="1"/>
  <c r="K80" i="6"/>
  <c r="J80" i="6"/>
  <c r="H81" i="6"/>
  <c r="K158" i="6"/>
  <c r="H119" i="6"/>
  <c r="K118" i="6"/>
  <c r="J118" i="6"/>
  <c r="K53" i="6"/>
  <c r="K140" i="6" s="1"/>
  <c r="J53" i="6"/>
  <c r="J140" i="6" s="1"/>
  <c r="I53" i="6"/>
  <c r="K30" i="6"/>
  <c r="J30" i="6"/>
  <c r="I30" i="6"/>
  <c r="H31" i="6"/>
  <c r="H115" i="6"/>
  <c r="K114" i="6"/>
  <c r="J114" i="6"/>
  <c r="H128" i="6" l="1"/>
  <c r="I127" i="6"/>
  <c r="H53" i="6"/>
  <c r="H161" i="6"/>
  <c r="J156" i="6"/>
  <c r="J11" i="6"/>
  <c r="H138" i="6"/>
  <c r="H137" i="6"/>
  <c r="I155" i="6"/>
  <c r="H155" i="6" s="1"/>
  <c r="I156" i="6"/>
  <c r="I11" i="6"/>
  <c r="H136" i="6"/>
  <c r="I140" i="6"/>
  <c r="J158" i="6"/>
  <c r="H158" i="6" s="1"/>
  <c r="H98" i="6"/>
  <c r="H106" i="6"/>
  <c r="I157" i="6"/>
  <c r="H157" i="6" s="1"/>
  <c r="I134" i="6"/>
  <c r="H131" i="6"/>
  <c r="E131" i="6" s="1"/>
  <c r="G131" i="6" s="1"/>
  <c r="H167" i="6"/>
  <c r="H100" i="6"/>
  <c r="H159" i="6"/>
  <c r="H118" i="6"/>
  <c r="I114" i="6"/>
  <c r="I126" i="6" l="1"/>
  <c r="H127" i="6"/>
  <c r="E127" i="6" s="1"/>
  <c r="G127" i="6" s="1"/>
  <c r="H114" i="6"/>
  <c r="H113" i="6"/>
  <c r="H156" i="6"/>
  <c r="H11" i="6"/>
  <c r="H140" i="6"/>
  <c r="I154" i="6"/>
  <c r="H154" i="6" s="1"/>
  <c r="H134" i="6"/>
  <c r="K107" i="6" l="1"/>
  <c r="K168" i="6" s="1"/>
  <c r="J107" i="6"/>
  <c r="J168" i="6" s="1"/>
  <c r="I107" i="6"/>
  <c r="I168" i="6" s="1"/>
  <c r="H96" i="6"/>
  <c r="H94" i="6"/>
  <c r="J36" i="6"/>
  <c r="K104" i="6"/>
  <c r="K165" i="6" s="1"/>
  <c r="J104" i="6"/>
  <c r="J165" i="6" s="1"/>
  <c r="I104" i="6"/>
  <c r="K75" i="6"/>
  <c r="J75" i="6"/>
  <c r="H76" i="6"/>
  <c r="K102" i="6"/>
  <c r="K163" i="6" s="1"/>
  <c r="J102" i="6"/>
  <c r="I102" i="6"/>
  <c r="H90" i="6"/>
  <c r="I36" i="6"/>
  <c r="J97" i="6" l="1"/>
  <c r="I163" i="6"/>
  <c r="H102" i="6"/>
  <c r="J163" i="6"/>
  <c r="I165" i="6"/>
  <c r="H165" i="6" s="1"/>
  <c r="H104" i="6"/>
  <c r="H168" i="6"/>
  <c r="I74" i="6"/>
  <c r="K97" i="6"/>
  <c r="I97" i="6"/>
  <c r="H107" i="6"/>
  <c r="K307" i="6"/>
  <c r="J307" i="6"/>
  <c r="J357" i="6" s="1"/>
  <c r="I307" i="6"/>
  <c r="I357" i="6" s="1"/>
  <c r="H233" i="6"/>
  <c r="K285" i="6"/>
  <c r="K335" i="6" s="1"/>
  <c r="J285" i="6"/>
  <c r="I285" i="6"/>
  <c r="H191" i="6"/>
  <c r="K190" i="6"/>
  <c r="J190" i="6"/>
  <c r="G190" i="6"/>
  <c r="I279" i="6"/>
  <c r="I277" i="6" s="1"/>
  <c r="I241" i="6"/>
  <c r="K306" i="6"/>
  <c r="K356" i="6" s="1"/>
  <c r="J306" i="6"/>
  <c r="J356" i="6" s="1"/>
  <c r="I306" i="6"/>
  <c r="H232" i="6"/>
  <c r="K303" i="6"/>
  <c r="K353" i="6" s="1"/>
  <c r="J303" i="6"/>
  <c r="J353" i="6" s="1"/>
  <c r="I303" i="6"/>
  <c r="I353" i="6" s="1"/>
  <c r="H225" i="6"/>
  <c r="I267" i="6"/>
  <c r="K326" i="6"/>
  <c r="K376" i="6" s="1"/>
  <c r="J326" i="6"/>
  <c r="J376" i="6" s="1"/>
  <c r="I376" i="6"/>
  <c r="H268" i="6"/>
  <c r="K330" i="6"/>
  <c r="K380" i="6" s="1"/>
  <c r="J330" i="6"/>
  <c r="I330" i="6"/>
  <c r="I380" i="6" s="1"/>
  <c r="H278" i="6"/>
  <c r="K299" i="6"/>
  <c r="K349" i="6" s="1"/>
  <c r="J299" i="6"/>
  <c r="J349" i="6" s="1"/>
  <c r="I299" i="6"/>
  <c r="H213" i="6"/>
  <c r="K212" i="6"/>
  <c r="J212" i="6"/>
  <c r="I212" i="6"/>
  <c r="K215" i="6"/>
  <c r="J215" i="6"/>
  <c r="I215" i="6"/>
  <c r="H216" i="6"/>
  <c r="H197" i="6"/>
  <c r="K196" i="6"/>
  <c r="J196" i="6"/>
  <c r="I196" i="6"/>
  <c r="H190" i="6" l="1"/>
  <c r="H307" i="6"/>
  <c r="H163" i="6"/>
  <c r="I335" i="6"/>
  <c r="K357" i="6"/>
  <c r="H357" i="6" s="1"/>
  <c r="H212" i="6"/>
  <c r="H285" i="6"/>
  <c r="J335" i="6"/>
  <c r="H306" i="6"/>
  <c r="I356" i="6"/>
  <c r="H356" i="6" s="1"/>
  <c r="H330" i="6"/>
  <c r="J380" i="6"/>
  <c r="H380" i="6" s="1"/>
  <c r="H353" i="6"/>
  <c r="H303" i="6"/>
  <c r="H376" i="6"/>
  <c r="H326" i="6"/>
  <c r="H299" i="6"/>
  <c r="H196" i="6"/>
  <c r="I349" i="6"/>
  <c r="H349" i="6" s="1"/>
  <c r="H335" i="6" l="1"/>
  <c r="I186" i="6"/>
  <c r="H187" i="6"/>
  <c r="I178" i="6"/>
  <c r="H179" i="6"/>
  <c r="K60" i="6" l="1"/>
  <c r="K59" i="6"/>
  <c r="K146" i="6" s="1"/>
  <c r="K58" i="6"/>
  <c r="K145" i="6" s="1"/>
  <c r="J60" i="6"/>
  <c r="J59" i="6"/>
  <c r="J146" i="6" s="1"/>
  <c r="J58" i="6"/>
  <c r="J145" i="6" s="1"/>
  <c r="I60" i="6"/>
  <c r="I59" i="6"/>
  <c r="I58" i="6"/>
  <c r="I145" i="6" s="1"/>
  <c r="H26" i="6"/>
  <c r="H24" i="6"/>
  <c r="H21" i="6"/>
  <c r="I19" i="6"/>
  <c r="I146" i="6" l="1"/>
  <c r="H146" i="6" s="1"/>
  <c r="J147" i="6"/>
  <c r="I147" i="6"/>
  <c r="H58" i="6"/>
  <c r="K147" i="6"/>
  <c r="H145" i="6"/>
  <c r="H59" i="6"/>
  <c r="H60" i="6"/>
  <c r="H147" i="6" l="1"/>
  <c r="K329" i="6"/>
  <c r="K379" i="6" s="1"/>
  <c r="J329" i="6"/>
  <c r="J379" i="6" s="1"/>
  <c r="I329" i="6"/>
  <c r="I379" i="6" s="1"/>
  <c r="I240" i="6" l="1"/>
  <c r="I242" i="6"/>
  <c r="I14" i="6" l="1"/>
  <c r="I13" i="6"/>
  <c r="H83" i="6" l="1"/>
  <c r="G30" i="6" l="1"/>
  <c r="G277" i="6" l="1"/>
  <c r="G208" i="6"/>
  <c r="G183" i="6"/>
  <c r="G178" i="6"/>
  <c r="I15" i="6" l="1"/>
  <c r="K325" i="6"/>
  <c r="K375" i="6" s="1"/>
  <c r="J325" i="6"/>
  <c r="J375" i="6" s="1"/>
  <c r="K323" i="6"/>
  <c r="K373" i="6" s="1"/>
  <c r="J323" i="6"/>
  <c r="J373" i="6" s="1"/>
  <c r="I325" i="6"/>
  <c r="I375" i="6" s="1"/>
  <c r="I323" i="6"/>
  <c r="I373" i="6" s="1"/>
  <c r="K332" i="6"/>
  <c r="K382" i="6" s="1"/>
  <c r="J332" i="6"/>
  <c r="J382" i="6" s="1"/>
  <c r="K331" i="6"/>
  <c r="K381" i="6" s="1"/>
  <c r="J331" i="6"/>
  <c r="J381" i="6" s="1"/>
  <c r="I332" i="6"/>
  <c r="I382" i="6" s="1"/>
  <c r="I331" i="6"/>
  <c r="K328" i="6"/>
  <c r="K378" i="6" s="1"/>
  <c r="J328" i="6"/>
  <c r="J378" i="6" s="1"/>
  <c r="K327" i="6"/>
  <c r="K377" i="6" s="1"/>
  <c r="J327" i="6"/>
  <c r="J377" i="6" s="1"/>
  <c r="I328" i="6"/>
  <c r="I327" i="6"/>
  <c r="I377" i="6" s="1"/>
  <c r="K320" i="6"/>
  <c r="K370" i="6" s="1"/>
  <c r="J320" i="6"/>
  <c r="K319" i="6"/>
  <c r="K369" i="6" s="1"/>
  <c r="J319" i="6"/>
  <c r="K316" i="6"/>
  <c r="K366" i="6" s="1"/>
  <c r="J316" i="6"/>
  <c r="K315" i="6"/>
  <c r="K365" i="6" s="1"/>
  <c r="J315" i="6"/>
  <c r="J365" i="6" s="1"/>
  <c r="I320" i="6"/>
  <c r="I319" i="6"/>
  <c r="I369" i="6" s="1"/>
  <c r="I316" i="6"/>
  <c r="I315" i="6"/>
  <c r="I365" i="6" s="1"/>
  <c r="K314" i="6"/>
  <c r="K364" i="6" s="1"/>
  <c r="J314" i="6"/>
  <c r="J364" i="6" s="1"/>
  <c r="K313" i="6"/>
  <c r="K363" i="6" s="1"/>
  <c r="J313" i="6"/>
  <c r="J363" i="6" s="1"/>
  <c r="K312" i="6"/>
  <c r="K362" i="6" s="1"/>
  <c r="J312" i="6"/>
  <c r="J362" i="6" s="1"/>
  <c r="K311" i="6"/>
  <c r="K361" i="6" s="1"/>
  <c r="J311" i="6"/>
  <c r="J361" i="6" s="1"/>
  <c r="K310" i="6"/>
  <c r="K360" i="6" s="1"/>
  <c r="J310" i="6"/>
  <c r="J360" i="6" s="1"/>
  <c r="I314" i="6"/>
  <c r="I364" i="6" s="1"/>
  <c r="I313" i="6"/>
  <c r="I312" i="6"/>
  <c r="I362" i="6" s="1"/>
  <c r="I311" i="6"/>
  <c r="I361" i="6" s="1"/>
  <c r="I310" i="6"/>
  <c r="I360" i="6" s="1"/>
  <c r="K309" i="6"/>
  <c r="K359" i="6" s="1"/>
  <c r="J309" i="6"/>
  <c r="J359" i="6" s="1"/>
  <c r="K308" i="6"/>
  <c r="K358" i="6" s="1"/>
  <c r="J308" i="6"/>
  <c r="J358" i="6" s="1"/>
  <c r="K305" i="6"/>
  <c r="K355" i="6" s="1"/>
  <c r="J305" i="6"/>
  <c r="J355" i="6" s="1"/>
  <c r="I309" i="6"/>
  <c r="I359" i="6" s="1"/>
  <c r="I308" i="6"/>
  <c r="I358" i="6" s="1"/>
  <c r="I305" i="6"/>
  <c r="I355" i="6" s="1"/>
  <c r="K302" i="6"/>
  <c r="K352" i="6" s="1"/>
  <c r="J302" i="6"/>
  <c r="J352" i="6" s="1"/>
  <c r="K301" i="6"/>
  <c r="K351" i="6" s="1"/>
  <c r="J301" i="6"/>
  <c r="J351" i="6" s="1"/>
  <c r="K300" i="6"/>
  <c r="K350" i="6" s="1"/>
  <c r="J300" i="6"/>
  <c r="J350" i="6" s="1"/>
  <c r="I302" i="6"/>
  <c r="I301" i="6"/>
  <c r="I351" i="6" s="1"/>
  <c r="I300" i="6"/>
  <c r="I350" i="6" s="1"/>
  <c r="K298" i="6"/>
  <c r="J298" i="6"/>
  <c r="K297" i="6"/>
  <c r="K347" i="6" s="1"/>
  <c r="J297" i="6"/>
  <c r="J347" i="6" s="1"/>
  <c r="K296" i="6"/>
  <c r="K346" i="6" s="1"/>
  <c r="J296" i="6"/>
  <c r="J346" i="6" s="1"/>
  <c r="I298" i="6"/>
  <c r="I297" i="6"/>
  <c r="I347" i="6" s="1"/>
  <c r="K295" i="6"/>
  <c r="J295" i="6"/>
  <c r="J345" i="6" s="1"/>
  <c r="K294" i="6"/>
  <c r="J294" i="6"/>
  <c r="J344" i="6" s="1"/>
  <c r="I295" i="6"/>
  <c r="I345" i="6" s="1"/>
  <c r="I294" i="6"/>
  <c r="I344" i="6" s="1"/>
  <c r="K293" i="6"/>
  <c r="K343" i="6" s="1"/>
  <c r="J293" i="6"/>
  <c r="J343" i="6" s="1"/>
  <c r="I293" i="6"/>
  <c r="I343" i="6" s="1"/>
  <c r="K292" i="6"/>
  <c r="K342" i="6" s="1"/>
  <c r="J292" i="6"/>
  <c r="J342" i="6" s="1"/>
  <c r="I292" i="6"/>
  <c r="I342" i="6" s="1"/>
  <c r="K291" i="6"/>
  <c r="K341" i="6" s="1"/>
  <c r="J291" i="6"/>
  <c r="J341" i="6" s="1"/>
  <c r="K290" i="6"/>
  <c r="K340" i="6" s="1"/>
  <c r="J290" i="6"/>
  <c r="J340" i="6" s="1"/>
  <c r="I291" i="6"/>
  <c r="I341" i="6" s="1"/>
  <c r="I290" i="6"/>
  <c r="I340" i="6" s="1"/>
  <c r="K289" i="6"/>
  <c r="Q284" i="6" s="1"/>
  <c r="J289" i="6"/>
  <c r="P284" i="6" s="1"/>
  <c r="K288" i="6"/>
  <c r="J288" i="6"/>
  <c r="I288" i="6"/>
  <c r="I289" i="6"/>
  <c r="O284" i="6" s="1"/>
  <c r="H243" i="6"/>
  <c r="H241" i="6"/>
  <c r="P283" i="6" l="1"/>
  <c r="Q283" i="6"/>
  <c r="K344" i="6"/>
  <c r="K345" i="6"/>
  <c r="J370" i="6"/>
  <c r="J366" i="6"/>
  <c r="I366" i="6"/>
  <c r="I370" i="6"/>
  <c r="J369" i="6"/>
  <c r="I352" i="6"/>
  <c r="J334" i="6"/>
  <c r="K334" i="6"/>
  <c r="I363" i="6"/>
  <c r="I381" i="6"/>
  <c r="P285" i="6"/>
  <c r="Q285" i="6"/>
  <c r="I378" i="6"/>
  <c r="O285" i="6"/>
  <c r="I338" i="6"/>
  <c r="K338" i="6"/>
  <c r="I339" i="6"/>
  <c r="J339" i="6"/>
  <c r="K339" i="6"/>
  <c r="J338" i="6"/>
  <c r="J348" i="6"/>
  <c r="K348" i="6"/>
  <c r="I348" i="6"/>
  <c r="H311" i="6"/>
  <c r="H325" i="6"/>
  <c r="H323" i="6"/>
  <c r="K208" i="6"/>
  <c r="J208" i="6"/>
  <c r="I208" i="6"/>
  <c r="H211" i="6"/>
  <c r="I200" i="6"/>
  <c r="I296" i="6" s="1"/>
  <c r="I346" i="6" s="1"/>
  <c r="O283" i="6" l="1"/>
  <c r="K71" i="6"/>
  <c r="K173" i="6" s="1"/>
  <c r="J71" i="6"/>
  <c r="J173" i="6" s="1"/>
  <c r="K70" i="6"/>
  <c r="K172" i="6" s="1"/>
  <c r="J70" i="6"/>
  <c r="J172" i="6" s="1"/>
  <c r="I70" i="6"/>
  <c r="I172" i="6" s="1"/>
  <c r="I71" i="6"/>
  <c r="I173" i="6" s="1"/>
  <c r="K64" i="6"/>
  <c r="K151" i="6" s="1"/>
  <c r="J64" i="6"/>
  <c r="J151" i="6" s="1"/>
  <c r="K63" i="6"/>
  <c r="K150" i="6" s="1"/>
  <c r="J63" i="6"/>
  <c r="J150" i="6" s="1"/>
  <c r="I63" i="6"/>
  <c r="I150" i="6" s="1"/>
  <c r="I64" i="6"/>
  <c r="I151" i="6" s="1"/>
  <c r="K62" i="6"/>
  <c r="J62" i="6"/>
  <c r="K61" i="6"/>
  <c r="J61" i="6"/>
  <c r="I62" i="6"/>
  <c r="I61" i="6"/>
  <c r="K54" i="6"/>
  <c r="K8" i="6" s="1"/>
  <c r="J54" i="6"/>
  <c r="I54" i="6"/>
  <c r="K55" i="6"/>
  <c r="J55" i="6"/>
  <c r="I55" i="6"/>
  <c r="G19" i="6"/>
  <c r="I8" i="6" l="1"/>
  <c r="J8" i="6"/>
  <c r="K52" i="6"/>
  <c r="J52" i="6"/>
  <c r="I52" i="6"/>
  <c r="I149" i="6"/>
  <c r="I148" i="6"/>
  <c r="J149" i="6"/>
  <c r="J148" i="6"/>
  <c r="K149" i="6"/>
  <c r="K148" i="6"/>
  <c r="J141" i="6"/>
  <c r="I142" i="6"/>
  <c r="J142" i="6"/>
  <c r="K141" i="6"/>
  <c r="K142" i="6"/>
  <c r="I141" i="6"/>
  <c r="K74" i="6"/>
  <c r="K73" i="6" s="1"/>
  <c r="J74" i="6"/>
  <c r="J73" i="6" s="1"/>
  <c r="I73" i="6"/>
  <c r="H93" i="6"/>
  <c r="H84" i="6"/>
  <c r="I139" i="6" l="1"/>
  <c r="L52" i="6"/>
  <c r="I283" i="6"/>
  <c r="I334" i="6"/>
  <c r="H282" i="6"/>
  <c r="H281" i="6"/>
  <c r="H274" i="6"/>
  <c r="H273" i="6"/>
  <c r="H272" i="6"/>
  <c r="H264" i="6"/>
  <c r="H263" i="6"/>
  <c r="H258" i="6"/>
  <c r="H257" i="6"/>
  <c r="H247" i="6"/>
  <c r="H246" i="6"/>
  <c r="H245" i="6"/>
  <c r="H238" i="6"/>
  <c r="H237" i="6"/>
  <c r="H236" i="6"/>
  <c r="H217" i="6"/>
  <c r="H215" i="6"/>
  <c r="E215" i="6"/>
  <c r="E212" i="6" l="1"/>
  <c r="H214" i="6"/>
  <c r="H44" i="6" l="1"/>
  <c r="I43" i="6"/>
  <c r="I42" i="6" s="1"/>
  <c r="I239" i="6" l="1"/>
  <c r="H231" i="6" l="1"/>
  <c r="H189" i="6" l="1"/>
  <c r="H188" i="6"/>
  <c r="K186" i="6"/>
  <c r="J186" i="6"/>
  <c r="H185" i="6"/>
  <c r="H184" i="6"/>
  <c r="K183" i="6"/>
  <c r="J183" i="6"/>
  <c r="I183" i="6"/>
  <c r="H181" i="6"/>
  <c r="H180" i="6"/>
  <c r="K178" i="6"/>
  <c r="J178" i="6"/>
  <c r="K199" i="6"/>
  <c r="K198" i="6" s="1"/>
  <c r="J199" i="6"/>
  <c r="J198" i="6" s="1"/>
  <c r="I199" i="6"/>
  <c r="I198" i="6" s="1"/>
  <c r="H200" i="6"/>
  <c r="H219" i="6"/>
  <c r="K218" i="6"/>
  <c r="K203" i="6" s="1"/>
  <c r="J218" i="6"/>
  <c r="J203" i="6" s="1"/>
  <c r="I218" i="6"/>
  <c r="I203" i="6" s="1"/>
  <c r="G218" i="6"/>
  <c r="H178" i="6" l="1"/>
  <c r="H186" i="6"/>
  <c r="H183" i="6"/>
  <c r="H33" i="6"/>
  <c r="K393" i="6" l="1"/>
  <c r="K10" i="6" s="1"/>
  <c r="J393" i="6"/>
  <c r="J10" i="6" s="1"/>
  <c r="K392" i="6"/>
  <c r="K396" i="6" s="1"/>
  <c r="J392" i="6"/>
  <c r="J396" i="6" s="1"/>
  <c r="I392" i="6"/>
  <c r="K391" i="6"/>
  <c r="K9" i="6" s="1"/>
  <c r="J391" i="6"/>
  <c r="H389" i="6"/>
  <c r="H388" i="6"/>
  <c r="I391" i="6"/>
  <c r="I9" i="6" s="1"/>
  <c r="K386" i="6"/>
  <c r="K385" i="6" s="1"/>
  <c r="J386" i="6"/>
  <c r="J385" i="6" s="1"/>
  <c r="H271" i="6"/>
  <c r="H270" i="6"/>
  <c r="H269" i="6"/>
  <c r="K267" i="6"/>
  <c r="K266" i="6" s="1"/>
  <c r="K265" i="6" s="1"/>
  <c r="J267" i="6"/>
  <c r="J266" i="6" s="1"/>
  <c r="J265" i="6" s="1"/>
  <c r="G267" i="6"/>
  <c r="K259" i="6"/>
  <c r="G259" i="6"/>
  <c r="H255" i="6"/>
  <c r="H253" i="6"/>
  <c r="H249" i="6"/>
  <c r="G248" i="6"/>
  <c r="H244" i="6"/>
  <c r="H242" i="6"/>
  <c r="K239" i="6"/>
  <c r="J239" i="6"/>
  <c r="G239" i="6"/>
  <c r="H235" i="6"/>
  <c r="H234" i="6"/>
  <c r="K230" i="6"/>
  <c r="J230" i="6"/>
  <c r="G230" i="6"/>
  <c r="H228" i="6"/>
  <c r="H227" i="6"/>
  <c r="K223" i="6"/>
  <c r="J223" i="6"/>
  <c r="G224" i="6"/>
  <c r="H210" i="6"/>
  <c r="H209" i="6"/>
  <c r="H207" i="6"/>
  <c r="H206" i="6"/>
  <c r="H205" i="6"/>
  <c r="G204" i="6"/>
  <c r="H202" i="6"/>
  <c r="H201" i="6"/>
  <c r="H195" i="6"/>
  <c r="K194" i="6"/>
  <c r="K177" i="6" s="1"/>
  <c r="J194" i="6"/>
  <c r="J177" i="6" s="1"/>
  <c r="I194" i="6"/>
  <c r="I177" i="6" s="1"/>
  <c r="G194" i="6"/>
  <c r="H220" i="6"/>
  <c r="H112" i="6"/>
  <c r="H111" i="6"/>
  <c r="G111" i="6"/>
  <c r="K110" i="6"/>
  <c r="J110" i="6"/>
  <c r="I110" i="6"/>
  <c r="H92" i="6"/>
  <c r="H88" i="6"/>
  <c r="H79" i="6"/>
  <c r="H78" i="6"/>
  <c r="H45" i="6"/>
  <c r="K43" i="6"/>
  <c r="J43" i="6"/>
  <c r="I41" i="6"/>
  <c r="G43" i="6"/>
  <c r="H37" i="6"/>
  <c r="H36" i="6"/>
  <c r="K35" i="6"/>
  <c r="J35" i="6"/>
  <c r="I35" i="6"/>
  <c r="I18" i="6" s="1"/>
  <c r="G35" i="6"/>
  <c r="H34" i="6"/>
  <c r="H32" i="6"/>
  <c r="H30" i="6"/>
  <c r="H29" i="6"/>
  <c r="H28" i="6"/>
  <c r="H27" i="6"/>
  <c r="H23" i="6"/>
  <c r="H20" i="6"/>
  <c r="K19" i="6"/>
  <c r="K18" i="6" s="1"/>
  <c r="J19" i="6"/>
  <c r="J18" i="6" s="1"/>
  <c r="H15" i="6"/>
  <c r="H14" i="6"/>
  <c r="J9" i="6" l="1"/>
  <c r="J395" i="6"/>
  <c r="K176" i="6"/>
  <c r="I176" i="6"/>
  <c r="K395" i="6"/>
  <c r="J42" i="6"/>
  <c r="J41" i="6" s="1"/>
  <c r="K42" i="6"/>
  <c r="K41" i="6" s="1"/>
  <c r="J133" i="6"/>
  <c r="J7" i="6"/>
  <c r="K133" i="6"/>
  <c r="K7" i="6"/>
  <c r="I133" i="6"/>
  <c r="I396" i="6"/>
  <c r="H396" i="6" s="1"/>
  <c r="K139" i="6"/>
  <c r="J397" i="6"/>
  <c r="J394" i="6" s="1"/>
  <c r="K397" i="6"/>
  <c r="K394" i="6" s="1"/>
  <c r="H19" i="6"/>
  <c r="H260" i="6"/>
  <c r="I230" i="6"/>
  <c r="H230" i="6" s="1"/>
  <c r="H309" i="6"/>
  <c r="H338" i="6"/>
  <c r="H392" i="6"/>
  <c r="H80" i="6"/>
  <c r="H194" i="6"/>
  <c r="K229" i="6"/>
  <c r="K222" i="6" s="1"/>
  <c r="H13" i="6"/>
  <c r="H240" i="6"/>
  <c r="H301" i="6"/>
  <c r="H379" i="6"/>
  <c r="H43" i="6"/>
  <c r="H75" i="6"/>
  <c r="H375" i="6"/>
  <c r="K390" i="6"/>
  <c r="I395" i="6"/>
  <c r="H391" i="6"/>
  <c r="H55" i="6"/>
  <c r="H85" i="6"/>
  <c r="H239" i="6"/>
  <c r="I276" i="6"/>
  <c r="H343" i="6"/>
  <c r="H348" i="6"/>
  <c r="H350" i="6"/>
  <c r="H381" i="6"/>
  <c r="J390" i="6"/>
  <c r="H387" i="6"/>
  <c r="I386" i="6"/>
  <c r="H250" i="6"/>
  <c r="H262" i="6"/>
  <c r="H61" i="6"/>
  <c r="H70" i="6"/>
  <c r="H172" i="6"/>
  <c r="H173" i="6"/>
  <c r="H110" i="6"/>
  <c r="H151" i="6"/>
  <c r="H64" i="6"/>
  <c r="H142" i="6"/>
  <c r="H148" i="6"/>
  <c r="H63" i="6"/>
  <c r="H150" i="6"/>
  <c r="H35" i="6"/>
  <c r="L18" i="6" s="1"/>
  <c r="H54" i="6"/>
  <c r="H62" i="6"/>
  <c r="H71" i="6"/>
  <c r="H89" i="6"/>
  <c r="H149" i="6"/>
  <c r="H340" i="6"/>
  <c r="H290" i="6"/>
  <c r="H377" i="6"/>
  <c r="J259" i="6"/>
  <c r="H288" i="6"/>
  <c r="H339" i="6"/>
  <c r="H289" i="6"/>
  <c r="H342" i="6"/>
  <c r="H358" i="6"/>
  <c r="H347" i="6"/>
  <c r="H297" i="6"/>
  <c r="H370" i="6"/>
  <c r="H327" i="6"/>
  <c r="H218" i="6"/>
  <c r="H199" i="6"/>
  <c r="H204" i="6"/>
  <c r="H366" i="6"/>
  <c r="H319" i="6"/>
  <c r="H369" i="6"/>
  <c r="H320" i="6"/>
  <c r="H344" i="6"/>
  <c r="H294" i="6"/>
  <c r="H382" i="6"/>
  <c r="K277" i="6"/>
  <c r="H314" i="6"/>
  <c r="H363" i="6"/>
  <c r="H267" i="6"/>
  <c r="I266" i="6"/>
  <c r="K283" i="6"/>
  <c r="H359" i="6"/>
  <c r="H352" i="6"/>
  <c r="H355" i="6"/>
  <c r="H360" i="6"/>
  <c r="H361" i="6"/>
  <c r="H364" i="6"/>
  <c r="H365" i="6"/>
  <c r="H373" i="6"/>
  <c r="H378" i="6"/>
  <c r="H280" i="6"/>
  <c r="J277" i="6"/>
  <c r="J276" i="6" s="1"/>
  <c r="H279" i="6"/>
  <c r="H292" i="6"/>
  <c r="H293" i="6"/>
  <c r="H298" i="6"/>
  <c r="H300" i="6"/>
  <c r="H302" i="6"/>
  <c r="H305" i="6"/>
  <c r="H308" i="6"/>
  <c r="H310" i="6"/>
  <c r="H312" i="6"/>
  <c r="H315" i="6"/>
  <c r="H316" i="6"/>
  <c r="H328" i="6"/>
  <c r="H329" i="6"/>
  <c r="H332" i="6"/>
  <c r="I393" i="6"/>
  <c r="I10" i="6" s="1"/>
  <c r="L177" i="6" l="1"/>
  <c r="K109" i="6"/>
  <c r="G199" i="6"/>
  <c r="E199" i="6" s="1"/>
  <c r="H42" i="6"/>
  <c r="H395" i="6"/>
  <c r="I7" i="6"/>
  <c r="M52" i="6"/>
  <c r="H170" i="6"/>
  <c r="H386" i="6"/>
  <c r="E386" i="6" s="1"/>
  <c r="G386" i="6" s="1"/>
  <c r="I385" i="6"/>
  <c r="H385" i="6" s="1"/>
  <c r="I229" i="6"/>
  <c r="J229" i="6"/>
  <c r="J222" i="6" s="1"/>
  <c r="J221" i="6" s="1"/>
  <c r="L74" i="6"/>
  <c r="I12" i="6"/>
  <c r="H12" i="6" s="1"/>
  <c r="H208" i="6"/>
  <c r="L203" i="6" s="1"/>
  <c r="K221" i="6"/>
  <c r="H248" i="6"/>
  <c r="K276" i="6"/>
  <c r="K275" i="6" s="1"/>
  <c r="H198" i="6"/>
  <c r="H331" i="6"/>
  <c r="H351" i="6"/>
  <c r="H97" i="6"/>
  <c r="H10" i="6"/>
  <c r="O295" i="6"/>
  <c r="H346" i="6"/>
  <c r="H296" i="6"/>
  <c r="H341" i="6"/>
  <c r="H291" i="6"/>
  <c r="Q288" i="6"/>
  <c r="J139" i="6"/>
  <c r="H139" i="6" s="1"/>
  <c r="H141" i="6"/>
  <c r="H345" i="6"/>
  <c r="H295" i="6"/>
  <c r="J275" i="6"/>
  <c r="H277" i="6"/>
  <c r="L275" i="6" s="1"/>
  <c r="K333" i="6"/>
  <c r="I223" i="6"/>
  <c r="H223" i="6" s="1"/>
  <c r="H224" i="6"/>
  <c r="J333" i="6"/>
  <c r="J283" i="6"/>
  <c r="I397" i="6"/>
  <c r="I390" i="6"/>
  <c r="H390" i="6" s="1"/>
  <c r="H393" i="6"/>
  <c r="H266" i="6"/>
  <c r="I265" i="6"/>
  <c r="H265" i="6" s="1"/>
  <c r="H284" i="6"/>
  <c r="H362" i="6"/>
  <c r="H313" i="6"/>
  <c r="H74" i="6"/>
  <c r="H126" i="6" l="1"/>
  <c r="J109" i="6"/>
  <c r="H109" i="6" s="1"/>
  <c r="M139" i="6"/>
  <c r="J176" i="6"/>
  <c r="H177" i="6"/>
  <c r="L229" i="6"/>
  <c r="I222" i="6"/>
  <c r="P288" i="6"/>
  <c r="H73" i="6"/>
  <c r="L97" i="6" s="1"/>
  <c r="N97" i="6" s="1"/>
  <c r="H203" i="6"/>
  <c r="O294" i="6"/>
  <c r="L283" i="6"/>
  <c r="H133" i="6"/>
  <c r="H18" i="6"/>
  <c r="H8" i="6"/>
  <c r="I333" i="6"/>
  <c r="L333" i="6" s="1"/>
  <c r="H334" i="6"/>
  <c r="M333" i="6" s="1"/>
  <c r="H397" i="6"/>
  <c r="L394" i="6" s="1"/>
  <c r="I394" i="6"/>
  <c r="H394" i="6" s="1"/>
  <c r="H276" i="6"/>
  <c r="I275" i="6"/>
  <c r="H275" i="6" s="1"/>
  <c r="M283" i="6"/>
  <c r="O293" i="6"/>
  <c r="O288" i="6"/>
  <c r="M288" i="6" s="1"/>
  <c r="H229" i="6"/>
  <c r="L221" i="6" s="1"/>
  <c r="H9" i="6"/>
  <c r="L176" i="6" l="1"/>
  <c r="H7" i="6"/>
  <c r="H176" i="6"/>
  <c r="O296" i="6"/>
  <c r="L7" i="6"/>
  <c r="N18" i="6"/>
  <c r="H222" i="6"/>
  <c r="I221" i="6"/>
  <c r="H221" i="6" s="1"/>
  <c r="H41" i="6"/>
  <c r="H52" i="6" s="1"/>
  <c r="L139" i="6" s="1"/>
  <c r="O139" i="6" s="1"/>
  <c r="H283" i="6" l="1"/>
  <c r="H333" i="6" s="1"/>
  <c r="L6" i="6" s="1"/>
  <c r="M6" i="6" l="1"/>
</calcChain>
</file>

<file path=xl/sharedStrings.xml><?xml version="1.0" encoding="utf-8"?>
<sst xmlns="http://schemas.openxmlformats.org/spreadsheetml/2006/main" count="904" uniqueCount="421">
  <si>
    <t>Строительство объекта "Автодорога по ул. Ильи Иванова в Советском районе               г. Брянска"</t>
  </si>
  <si>
    <t>Школа в районе бывшего аэропорта города Брянска</t>
  </si>
  <si>
    <t>Реализация инфраструктурных проектов на территории города Брянска</t>
  </si>
  <si>
    <t>280 мест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</si>
  <si>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</si>
  <si>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Итого по Брянской городской администрации</t>
  </si>
  <si>
    <t xml:space="preserve">25.SP.047                                    Обл 25.SP.047 </t>
  </si>
  <si>
    <t xml:space="preserve">25.SP.047                                    Гор 25.SP.047 </t>
  </si>
  <si>
    <t xml:space="preserve">25.SP.047                                    </t>
  </si>
  <si>
    <t>Главный специалист отдела по строительству Управления                                                                                  по строительству и развитию территории города Брянска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</si>
  <si>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</si>
  <si>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</si>
  <si>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9253      Обл 310</t>
  </si>
  <si>
    <r>
      <t>федеральный бюджет</t>
    </r>
    <r>
      <rPr>
        <sz val="10"/>
        <rFont val="Times New Roman"/>
        <family val="1"/>
        <charset val="204"/>
      </rPr>
      <t xml:space="preserve">                                          1004  034 06R0820 412 </t>
    </r>
  </si>
  <si>
    <t>Строительство дороги дублера ул. Карачижской                         (от дома №79/1  по                                        пр-ту Ст. Димитрова до                                           ул. Калинина ) в Советском районе г. Брянска</t>
  </si>
  <si>
    <t>3. Главный распорядитель бюджетных средств БРЯНСКАЯ ГОРОДСКАЯ АДМИНИСТРАЦИЯ (003)</t>
  </si>
  <si>
    <t>3.1. Заказчик -   Брянская городская администрация</t>
  </si>
  <si>
    <t>Дворец зимних видов спорта 
в Фокинском районе г.Брянска</t>
  </si>
  <si>
    <t>Подпрограмма "Коммунальное хозяйство города Брянска"</t>
  </si>
  <si>
    <t>Основное мероприятие программы "Обеспечение мероприятий по решению прочих вопросов  в области ЖКХ"</t>
  </si>
  <si>
    <t>Строительство детского сада по ул. Флотской в Бежицком районе города Брянска</t>
  </si>
  <si>
    <t>Массовый спорт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</si>
  <si>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0502 084 0781680 414 </t>
    </r>
    <r>
      <rPr>
        <i/>
        <sz val="10"/>
        <rFont val="Times New Roman"/>
        <family val="1"/>
        <charset val="204"/>
      </rPr>
      <t xml:space="preserve"> </t>
    </r>
  </si>
  <si>
    <t xml:space="preserve">2024 год     </t>
  </si>
  <si>
    <r>
      <t xml:space="preserve">бюджет города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</si>
  <si>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</si>
  <si>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2024 год</t>
  </si>
  <si>
    <t xml:space="preserve"> </t>
  </si>
  <si>
    <t>Мощность объекта капитального строительства, подлежащего вводу, мощность объекта недвижимого имущества</t>
  </si>
  <si>
    <t xml:space="preserve">Муниципальная программа "Жилищно-коммунальное хозяйство города Брянска" </t>
  </si>
  <si>
    <t>Муниципальная программа "Жилищно-коммунальное хозяйство города Брянска"</t>
  </si>
  <si>
    <t>Муниципальная программа "Повышение безопасности дорожного движения в городе Брянске"</t>
  </si>
  <si>
    <t>в том числе:</t>
  </si>
  <si>
    <t>ПЕРЕЧЕНЬ</t>
  </si>
  <si>
    <t>Сметная стоимость или предполагаемая  (предельная) сметная стоимость объекта капитального строительства или стоимость объекта недвижимого имущества, в ценах текущего года</t>
  </si>
  <si>
    <t>Срок планируемого ввода в эксплуатацию (приобрете-ния) объекта капитального строительства (объекта недвижимого имущества)</t>
  </si>
  <si>
    <t>1. Главный распорядитель бюджетных средств КОМИТЕТ ПО ЖИЛИЩНО-КОММУНАЛЬНОМУ ХОЗЯЙСТВУ БРЯНСКОЙ ГОРОДСКОЙ АДМИНИСТРАЦИИ (008)</t>
  </si>
  <si>
    <t>1.1. Заказчик - МКУ "Управление жилищно-коммунального хозяйства" г. Брянска</t>
  </si>
  <si>
    <t>2. Главный распорядитель бюджетных средств УПРАВЛЕНИЕ ПО СТРОИТЕЛЬСТВУ И РАЗВИТИЮ ТЕРРИТОРИИ ГОРОДА БРЯНСКА (009)</t>
  </si>
  <si>
    <t>бюджет города</t>
  </si>
  <si>
    <t>областной бюджет</t>
  </si>
  <si>
    <t>Всего капитальных вложений, в т.ч.</t>
  </si>
  <si>
    <t>2.1. Заказчик -  МКУ "Управление капитального строительства" г. Брянска</t>
  </si>
  <si>
    <t>строительство</t>
  </si>
  <si>
    <t>Итого по МКУ "УЖКХ"                          г. Брянска:</t>
  </si>
  <si>
    <t>Муниципальная программа "Развитие образования в городе Брянске"</t>
  </si>
  <si>
    <t>Управление по строительству и развитию территории города Брянска</t>
  </si>
  <si>
    <t>проектирование</t>
  </si>
  <si>
    <t>2023 год</t>
  </si>
  <si>
    <t>1225 мест</t>
  </si>
  <si>
    <t>Объем бюджетных ассигнований, всего</t>
  </si>
  <si>
    <t>приобретение</t>
  </si>
  <si>
    <t>Итого по МУП "Брянский городской водоканал":</t>
  </si>
  <si>
    <t>Наименование объекта, уровень бюджета, коды бюджетной классификации</t>
  </si>
  <si>
    <t>Направление инвестирова-ния,                      Доп. Класс./      Рег. Класс.                                        Код субсидии</t>
  </si>
  <si>
    <t>Общее образование</t>
  </si>
  <si>
    <t>федеральный бюджет</t>
  </si>
  <si>
    <t>реконструкция</t>
  </si>
  <si>
    <t>Итого по МКУ "УКС" г. Брянска: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</si>
  <si>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Е155200 414</t>
    </r>
  </si>
  <si>
    <t>1 скважина</t>
  </si>
  <si>
    <t>2,020 км</t>
  </si>
  <si>
    <t>Дебиторская задолженность бюджет города</t>
  </si>
  <si>
    <t>Школа в микрорайоне по                               ул. Флотской в Бежицком районе города Брянска</t>
  </si>
  <si>
    <t>Всего по комитету по ЖКХ городской администрации:</t>
  </si>
  <si>
    <t>Подпрограмма "Увеличение сети образовательных организаций города Брянска"</t>
  </si>
  <si>
    <t>Муниципальная программа "Физическая культура и спорт в городе Брянске"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</si>
  <si>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Е152390 414</t>
    </r>
  </si>
  <si>
    <t xml:space="preserve">L=1000 м,                      Д=500 мм </t>
  </si>
  <si>
    <t xml:space="preserve">L=5200 м,                      Д=500 мм </t>
  </si>
  <si>
    <t xml:space="preserve">L=3000 м,                      Д=300 мм </t>
  </si>
  <si>
    <t>2025 год</t>
  </si>
  <si>
    <t>20.ED.019           Гор 20.ED.019</t>
  </si>
  <si>
    <t>20.ED.019           Обл 20.ED.019</t>
  </si>
  <si>
    <t xml:space="preserve">20.ED.019          </t>
  </si>
  <si>
    <t xml:space="preserve">20.ED.019           </t>
  </si>
  <si>
    <t>Водопроводная сеть микрорайона «Бежичи» Бежицкого района г. Брянска</t>
  </si>
  <si>
    <t xml:space="preserve">2024 год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</si>
  <si>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Е152390 414</t>
    </r>
  </si>
  <si>
    <t xml:space="preserve">Дебиторская задолженность областной бюджет </t>
  </si>
  <si>
    <t xml:space="preserve">Дебиторская задолженность федеральный бюджет </t>
  </si>
  <si>
    <t xml:space="preserve">Дебиторская задолженность бюджет города                                                     </t>
  </si>
  <si>
    <t>Водозаборное сооружение на территории технологического комплекса "Дзержинский" по адресу: г.Брянск, Фокинский район, ул.Дзержинского, д.11В</t>
  </si>
  <si>
    <t xml:space="preserve">Дебиторская задолженность                                  областной бюджет            </t>
  </si>
  <si>
    <t xml:space="preserve">Дебиторская задолженность                                  федеральный бюджет            </t>
  </si>
  <si>
    <r>
      <t xml:space="preserve">федеральный бюджет           </t>
    </r>
    <r>
      <rPr>
        <sz val="10"/>
        <rFont val="Times New Roman"/>
        <family val="1"/>
        <charset val="204"/>
      </rPr>
      <t xml:space="preserve"> 0702 051 Е152390 414</t>
    </r>
  </si>
  <si>
    <t>9610 п.м</t>
  </si>
  <si>
    <t>ориентировочно                    29 500 000,00</t>
  </si>
  <si>
    <t>ориентировочно    3 000 000,00</t>
  </si>
  <si>
    <t>ориентировочно  13 600 000,00</t>
  </si>
  <si>
    <t>1.2. Заказчик - МУП "Брянский городской водоканал"</t>
  </si>
  <si>
    <t>700 п.м</t>
  </si>
  <si>
    <t>Водозаборное сооружение на территории технологического комплекса "Городищенский" по адресу: г. Брянск, Бежицкий район,  ул. Бежицкая, д. 266А</t>
  </si>
  <si>
    <t xml:space="preserve">                 228</t>
  </si>
  <si>
    <t>Канализационная сеть с КНС по ул. Почтовой в Бежицком районе г.Брянска</t>
  </si>
  <si>
    <t>Водопроводная сеть к домам                                          № 38, 40а, 40б, 55, 57, 59 по                                                       ул. Кольцова и № 25, 27 по                                         ул. Луговой  в Володарском районе г. Брянска</t>
  </si>
  <si>
    <t>Канализационная сеть по ул.Декабристов, ул. Цюрупы в Бежицком районе г. Брянска</t>
  </si>
  <si>
    <t>Канализационные сети по ул.Вознесенская, ул.Рождественская, ул.Созидания Бежицкого района г.Брянска</t>
  </si>
  <si>
    <t>Канализация по ул. Зеленая и пер. 3-й Бежицкий в Бежицком районе г. Брянска</t>
  </si>
  <si>
    <t xml:space="preserve"> 1720 п.м</t>
  </si>
  <si>
    <t>Муниципальная программа "Поддержка и сохранение культуры и искусства в городе Брянске"</t>
  </si>
  <si>
    <t>Дополнительное образование детей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</si>
  <si>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</si>
  <si>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20.ED.018                             </t>
  </si>
  <si>
    <t xml:space="preserve">Строительство пристройки к зданию МБОУ СОШ №13 имени Героя Советского Союза И.Б. Катунина                                                    г. Брянска </t>
  </si>
  <si>
    <t>проектирование и строительство</t>
  </si>
  <si>
    <t xml:space="preserve">2024 год  </t>
  </si>
  <si>
    <t xml:space="preserve">Реконструкция Бордовичских водозаборных сооружений в                                                             г. Брянске Брянской области                                 </t>
  </si>
  <si>
    <t>20 000 м3/сут</t>
  </si>
  <si>
    <t>1.3. Заказчик - Комитет по жилищно-коммунальному хозяйству Брянской городской администрации</t>
  </si>
  <si>
    <t>12.СМ.003                 Обл 12.СМ.003</t>
  </si>
  <si>
    <t>12.СМ.003                 Гор 12.СМ.003</t>
  </si>
  <si>
    <t>12.СМ.003                 Фед 12.СМ.003</t>
  </si>
  <si>
    <t xml:space="preserve">12.СМ.003                </t>
  </si>
  <si>
    <t xml:space="preserve">12.СМ.003                 </t>
  </si>
  <si>
    <t>20.ED.018                              Обл 20.ED.018</t>
  </si>
  <si>
    <t>20.ED.018                              Гор 20.ED.018</t>
  </si>
  <si>
    <t>16.ED.053                              Обл 16.ED.053</t>
  </si>
  <si>
    <t>16.ED.053                              Гор 16.ED.053</t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</si>
  <si>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Е155200 414</t>
    </r>
  </si>
  <si>
    <t>35 тыс.м3/сут.</t>
  </si>
  <si>
    <t>Реконструкция технологического комплекса ГКНС по ул. Калинина, о/д 20 в Советском районе                                       г. Брянска</t>
  </si>
  <si>
    <t xml:space="preserve">2024 год      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</si>
  <si>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</si>
  <si>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г</t>
  </si>
  <si>
    <t>о</t>
  </si>
  <si>
    <t>ф</t>
  </si>
  <si>
    <t>Итого по комитету по ЖКХ</t>
  </si>
  <si>
    <t xml:space="preserve">23-50820-0000-00000                                           </t>
  </si>
  <si>
    <t xml:space="preserve">23-50820-0000-00000                                       </t>
  </si>
  <si>
    <t>19.RS.026                             Гор 19.RS.026</t>
  </si>
  <si>
    <t xml:space="preserve">19.RS.026                             </t>
  </si>
  <si>
    <t>Строительство школы на территории бывшего аэропорта по ул. Амосова в Советском районе г. Брянска</t>
  </si>
  <si>
    <t>95 человек (количество учащихся)</t>
  </si>
  <si>
    <t>0,97 км</t>
  </si>
  <si>
    <t xml:space="preserve">2024 год </t>
  </si>
  <si>
    <t>Всего</t>
  </si>
  <si>
    <t>19.RS.064                             Гор 19.RS.064</t>
  </si>
  <si>
    <t xml:space="preserve">Заместитель Главы городской администрации </t>
  </si>
  <si>
    <t>М.В. Коньшаков</t>
  </si>
  <si>
    <t>Канализационная сеть по                                                    ул. Цюрупы (от ул. Первомайской до                                                        ул. Кубяка) в Бежицком районе г. Брянска</t>
  </si>
  <si>
    <t>19.RS.064                             Обл 19.RS.064</t>
  </si>
  <si>
    <t>Подпрограмма "Внешнее благоустроство территории города Брянска"</t>
  </si>
  <si>
    <t>Строительство объекта "Автодорога по ул. Николая Амосова в Советском районе                                                            г. Брянска"</t>
  </si>
  <si>
    <t>117 000 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</si>
  <si>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</si>
  <si>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r>
      <t xml:space="preserve">областной бюджет    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</si>
  <si>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t xml:space="preserve">19.RS.066                          Гор 19.RS.066  </t>
  </si>
  <si>
    <t xml:space="preserve">19.RS.066                         Обл 19.RS.066  </t>
  </si>
  <si>
    <t>2026 год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</si>
  <si>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021 R116160 414  </t>
    </r>
  </si>
  <si>
    <r>
      <t xml:space="preserve">областной бюджет                                              </t>
    </r>
    <r>
      <rPr>
        <sz val="10"/>
        <rFont val="Times New Roman"/>
        <family val="1"/>
        <charset val="204"/>
      </rPr>
      <t xml:space="preserve">0409 021 R116160 414  </t>
    </r>
  </si>
  <si>
    <t>290 п.м</t>
  </si>
  <si>
    <t>19.WS.148                                Гор 19.WS.148</t>
  </si>
  <si>
    <r>
      <rPr>
        <i/>
        <sz val="10"/>
        <rFont val="Times New Roman"/>
        <family val="1"/>
        <charset val="204"/>
      </rPr>
      <t xml:space="preserve">бюджет города </t>
    </r>
    <r>
      <rPr>
        <sz val="10"/>
        <rFont val="Times New Roman"/>
        <family val="1"/>
        <charset val="204"/>
      </rPr>
      <t xml:space="preserve">                                       0502 081 F5Д2430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</si>
  <si>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 0502 081 F5Д2430 414  </t>
    </r>
  </si>
  <si>
    <t>19.WS.148                                Обл 19.WS.148</t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</si>
  <si>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0502 082 1409605 414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</si>
  <si>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федеральный бюджет                               </t>
    </r>
    <r>
      <rPr>
        <sz val="10"/>
        <rFont val="Times New Roman"/>
        <family val="1"/>
        <charset val="204"/>
      </rPr>
      <t xml:space="preserve">0502 082 1409505 414 </t>
    </r>
    <r>
      <rPr>
        <i/>
        <sz val="10"/>
        <rFont val="Times New Roman"/>
        <family val="1"/>
        <charset val="204"/>
      </rPr>
      <t xml:space="preserve"> </t>
    </r>
  </si>
  <si>
    <t>1714 п.м</t>
  </si>
  <si>
    <t>19.EN.043                         Гор 19.EN.043</t>
  </si>
  <si>
    <t>19.EN.043                         Обл 19.EN.043</t>
  </si>
  <si>
    <t>4650 п.м</t>
  </si>
  <si>
    <t xml:space="preserve">2026 год     </t>
  </si>
  <si>
    <t>19.EN.037                         Гор 19.EN.037</t>
  </si>
  <si>
    <t>19.EN.037                         Обл 19.EN.037</t>
  </si>
  <si>
    <t>3250 п.м</t>
  </si>
  <si>
    <t>19.EN.044                         Гор 19.EN.044</t>
  </si>
  <si>
    <t>19.EN.044                         Обл 19.EN.044</t>
  </si>
  <si>
    <t>Уличная канализация к жилым домам по пер. Почтовому 33/2; 35/1-2;                                       37/1-2; 36/2; 38; 39 в Бежицком районе   г. Брянска</t>
  </si>
  <si>
    <t>Канализационная сеть по ул. Белорусской д. №№ 72-96                                         и по ул. Стародубской                   д.№№ 1-10 в  Фокинском районе г. Брянска</t>
  </si>
  <si>
    <t>256 п.м</t>
  </si>
  <si>
    <t>600 п.м</t>
  </si>
  <si>
    <r>
      <rPr>
        <i/>
        <sz val="10"/>
        <rFont val="Times New Roman"/>
        <family val="1"/>
        <charset val="204"/>
      </rPr>
      <t xml:space="preserve">бюджет города  </t>
    </r>
    <r>
      <rPr>
        <sz val="10"/>
        <rFont val="Times New Roman"/>
        <family val="1"/>
        <charset val="204"/>
      </rPr>
      <t xml:space="preserve">                            0502 082 13SИ080 414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</si>
  <si>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  0502 082 13SИ080 414  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</si>
  <si>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051 E1К8060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</si>
  <si>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E198060 414</t>
    </r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</si>
  <si>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 xml:space="preserve"> 0702 051 E198060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</si>
  <si>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E1К8060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</si>
  <si>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E1Д2390 414</t>
    </r>
  </si>
  <si>
    <r>
      <t xml:space="preserve">областной бюджет                      </t>
    </r>
    <r>
      <rPr>
        <sz val="10"/>
        <rFont val="Times New Roman"/>
        <family val="1"/>
        <charset val="204"/>
      </rPr>
      <t>0702 051 E1Д2390 414</t>
    </r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</si>
  <si>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P5Д1390 414</t>
    </r>
  </si>
  <si>
    <r>
      <t xml:space="preserve">областной бюджет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1102 141 P5Д1390 414</t>
    </r>
  </si>
  <si>
    <t xml:space="preserve">Общий объем освоения бюджетных средств по объекту по состоянию на              1 января 2024 года, в ценах соответсвую-щих лет </t>
  </si>
  <si>
    <t>Остаток сметной стоимости объекта капитального строительства по состоянию               на 1 января 2024 года, в ценах текущего года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</si>
  <si>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</si>
  <si>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t>Строительство 2-ой очереди полигона ТКО с площадкой компостирования отходов в п. Большое Полпино г. Брянска</t>
  </si>
  <si>
    <r>
      <t xml:space="preserve">Дебиторская задолженность областной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</si>
  <si>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r>
      <t xml:space="preserve">Дебиторская задолженность федеральный бюджет                            </t>
    </r>
    <r>
      <rPr>
        <sz val="10"/>
        <rFont val="Times New Roman"/>
        <family val="1"/>
        <charset val="204"/>
      </rPr>
      <t xml:space="preserve"> </t>
    </r>
    <r>
      <rPr>
        <i/>
        <sz val="10"/>
        <rFont val="Times New Roman"/>
        <family val="1"/>
        <charset val="204"/>
      </rPr>
      <t xml:space="preserve">   </t>
    </r>
  </si>
  <si>
    <t xml:space="preserve">Дебиторская задолженность областного бюджета                                                 </t>
  </si>
  <si>
    <t>2028 год</t>
  </si>
  <si>
    <t xml:space="preserve">19.RS.026                            </t>
  </si>
  <si>
    <t xml:space="preserve">19.RS.064                           </t>
  </si>
  <si>
    <t xml:space="preserve">19.RS.066                         </t>
  </si>
  <si>
    <t xml:space="preserve">19.RS.066                       </t>
  </si>
  <si>
    <t xml:space="preserve">08.EN.006    Гор 08 EN.006              </t>
  </si>
  <si>
    <t xml:space="preserve">08.EN.006   Обл 08 EN.006              </t>
  </si>
  <si>
    <t xml:space="preserve">08.EN.006            </t>
  </si>
  <si>
    <t xml:space="preserve">08.EN.006                </t>
  </si>
  <si>
    <t>205,2 тыс.т/год</t>
  </si>
  <si>
    <t>3,202 км</t>
  </si>
  <si>
    <t xml:space="preserve">19.EN.037                      </t>
  </si>
  <si>
    <t xml:space="preserve">19.EN.037                       </t>
  </si>
  <si>
    <t xml:space="preserve">19.EN.043                        </t>
  </si>
  <si>
    <t xml:space="preserve">19.EN.043                       </t>
  </si>
  <si>
    <t xml:space="preserve">19.EN.044                       </t>
  </si>
  <si>
    <t xml:space="preserve">19.EN.044                        </t>
  </si>
  <si>
    <t xml:space="preserve">19.WS.148                              </t>
  </si>
  <si>
    <t xml:space="preserve">19.WS.148                               </t>
  </si>
  <si>
    <t xml:space="preserve">12.СМ.003             </t>
  </si>
  <si>
    <r>
      <t xml:space="preserve">федеральный бюджет                                     </t>
    </r>
    <r>
      <rPr>
        <sz val="10"/>
        <rFont val="Times New Roman"/>
        <family val="1"/>
        <charset val="204"/>
      </rPr>
      <t xml:space="preserve"> 0505 081 F552430 414  </t>
    </r>
  </si>
  <si>
    <t>24000000001120961246                 Обл 12.WS.337</t>
  </si>
  <si>
    <t>24000000001120961246                 Фед 12.WS.337</t>
  </si>
  <si>
    <t>982315002009        Гор 20.ED.019</t>
  </si>
  <si>
    <t>24000000001120961246</t>
  </si>
  <si>
    <t xml:space="preserve">24000000001120961246          </t>
  </si>
  <si>
    <t>24000000001120961246                                                  Гор 12.WS.337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</si>
  <si>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0502 082 14S9605 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</si>
  <si>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>0702 051 Е1А5200 414</t>
    </r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</si>
  <si>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0702 051 Е1А5200 414</t>
    </r>
  </si>
  <si>
    <r>
      <t xml:space="preserve">федеральный бюджет                     </t>
    </r>
    <r>
      <rPr>
        <sz val="10"/>
        <rFont val="Times New Roman"/>
        <family val="1"/>
        <charset val="204"/>
      </rPr>
      <t>0702 051 E155200 414</t>
    </r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</si>
  <si>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</si>
  <si>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25.SP.047                                   </t>
  </si>
  <si>
    <t xml:space="preserve">16.ED.053                             </t>
  </si>
  <si>
    <t xml:space="preserve">48 квартира                                    52 квартиры                                                    43 квартиры </t>
  </si>
  <si>
    <t>2024 год                                                  2025 год                                                                2026 год</t>
  </si>
  <si>
    <t xml:space="preserve">2450820Х256420000000                                  </t>
  </si>
  <si>
    <t xml:space="preserve">2450820Х256420000000                                          </t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</si>
  <si>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</si>
  <si>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0409 021 F1А0210 414  </t>
    </r>
  </si>
  <si>
    <t xml:space="preserve">2025 год        </t>
  </si>
  <si>
    <t>ориентировочно  2 954 359,00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</si>
  <si>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0605 081 G212810 414  </t>
    </r>
  </si>
  <si>
    <r>
      <t xml:space="preserve">областной бюджет                                   </t>
    </r>
    <r>
      <rPr>
        <sz val="10"/>
        <rFont val="Times New Roman"/>
        <family val="1"/>
        <charset val="204"/>
      </rPr>
      <t xml:space="preserve"> 0605 081 G212810 414  </t>
    </r>
  </si>
  <si>
    <r>
      <t xml:space="preserve">областной бюджет                             </t>
    </r>
    <r>
      <rPr>
        <sz val="10"/>
        <rFont val="Times New Roman"/>
        <family val="1"/>
        <charset val="204"/>
      </rPr>
      <t xml:space="preserve">0503 082 1213500 414 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</si>
  <si>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        </t>
    </r>
    <r>
      <rPr>
        <sz val="10"/>
        <rFont val="Times New Roman"/>
        <family val="1"/>
        <charset val="204"/>
      </rPr>
      <t xml:space="preserve">0503 082 1213500 414 </t>
    </r>
    <r>
      <rPr>
        <i/>
        <sz val="10"/>
        <rFont val="Times New Roman"/>
        <family val="1"/>
        <charset val="204"/>
      </rPr>
      <t xml:space="preserve"> </t>
    </r>
  </si>
  <si>
    <t>7545                          Обл 310</t>
  </si>
  <si>
    <t xml:space="preserve">7545                          </t>
  </si>
  <si>
    <t>Основное мероприятие программы "Региональный проект "Чистая вода (Брянская область)"</t>
  </si>
  <si>
    <t>Основное мероприятие подпрограммы "Региональный проект "Развитие инфраструктуной сферы жилищно-коммунального хозяйства"</t>
  </si>
  <si>
    <t>Дебиторская задолженность на 01.01.2024,  в т.ч.</t>
  </si>
  <si>
    <t>24315701000001220001                                Гор 20.ED.015</t>
  </si>
  <si>
    <t>24315701000001220001                           Обл.20.ED.015</t>
  </si>
  <si>
    <t>24315701000001220001                                 Фед.20.ED.015</t>
  </si>
  <si>
    <t xml:space="preserve">24315701000001220001   </t>
  </si>
  <si>
    <t>24315701000001210036                            Гор 20.ED.018</t>
  </si>
  <si>
    <t>24315701000001210036                              Обл 20.ED.018</t>
  </si>
  <si>
    <t>24315701000001210036                              Фед 20.ED.018</t>
  </si>
  <si>
    <t xml:space="preserve">24315701000001210036                           </t>
  </si>
  <si>
    <t xml:space="preserve">24315701000001210036                            </t>
  </si>
  <si>
    <t xml:space="preserve">24315701000001210036                         </t>
  </si>
  <si>
    <t>24215701000001230001                                               Гор 15.СL.013</t>
  </si>
  <si>
    <t>24215701000001230001                                                   Обл 15.СL.013</t>
  </si>
  <si>
    <t>24215701000001230001                                                Фед 15.СL.013</t>
  </si>
  <si>
    <r>
      <t xml:space="preserve">федеральный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</si>
  <si>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>24215701000001230001</t>
  </si>
  <si>
    <r>
      <t xml:space="preserve">бюджет города 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</si>
  <si>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24215701000001230001                                              </t>
  </si>
  <si>
    <r>
      <t xml:space="preserve">областной бюджет                                         </t>
    </r>
    <r>
      <rPr>
        <sz val="10"/>
        <rFont val="Arial Cyr"/>
        <charset val="204"/>
      </rPr>
      <t xml:space="preserve"> </t>
    </r>
    <r>
      <rPr>
        <sz val="10"/>
        <rFont val="Times New Roman"/>
        <family val="1"/>
        <charset val="204"/>
      </rPr>
      <t>0703 061 А155190 414</t>
    </r>
  </si>
  <si>
    <t xml:space="preserve">24215701000001230001                                             </t>
  </si>
  <si>
    <t xml:space="preserve">24215701000001230001                                           </t>
  </si>
  <si>
    <t xml:space="preserve">24215701000001230001                                            </t>
  </si>
  <si>
    <t>2450820Х256420000000    Обл 310</t>
  </si>
  <si>
    <t>2450820Х256420000000    Фед 310</t>
  </si>
  <si>
    <t>объектов капитального строительства и объектов недвижимости, приобретаемых для муниципальных нужд, города Брянска на 2024 год и на плановый период 2025 и 2026 годов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</si>
  <si>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</si>
  <si>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областной бюджет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</si>
  <si>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r>
      <t xml:space="preserve">федеральный бюджет                                        </t>
    </r>
    <r>
      <rPr>
        <sz val="10"/>
        <rFont val="Times New Roman"/>
        <family val="1"/>
        <charset val="204"/>
      </rPr>
      <t xml:space="preserve"> 0409 021 F150210 414  </t>
    </r>
  </si>
  <si>
    <t>19.RS.026                            Обл 19.RS.026</t>
  </si>
  <si>
    <t>24315701000001200005                         Гор 19.RS.026</t>
  </si>
  <si>
    <t>24315701000001200005                          Обл 19.RS.026</t>
  </si>
  <si>
    <t>24315701000001200005                             Фед 19.RS.026</t>
  </si>
  <si>
    <t xml:space="preserve">24315701000001200005                       </t>
  </si>
  <si>
    <t>4268,67 кв.м</t>
  </si>
  <si>
    <t xml:space="preserve">Уличная канализация по                                                   ул. Щербакова,                                           ул. Кольцевая,                                          ул. Славянская                                      в Фокинском районе                              г. Брянска </t>
  </si>
  <si>
    <t>4 100 п.м</t>
  </si>
  <si>
    <t>ориентировочно   47 968 529,88</t>
  </si>
  <si>
    <t>ориентировочно               47 627 419,44</t>
  </si>
  <si>
    <t xml:space="preserve">               228</t>
  </si>
  <si>
    <t>2024 год      проект</t>
  </si>
  <si>
    <r>
      <t xml:space="preserve">бюджет города                              </t>
    </r>
    <r>
      <rPr>
        <sz val="10"/>
        <rFont val="Times New Roman"/>
        <family val="1"/>
        <charset val="204"/>
      </rPr>
      <t xml:space="preserve">0505 084 0281680 414 </t>
    </r>
    <r>
      <rPr>
        <i/>
        <sz val="10"/>
        <rFont val="Times New Roman"/>
        <family val="1"/>
        <charset val="204"/>
      </rPr>
      <t xml:space="preserve"> </t>
    </r>
  </si>
  <si>
    <t xml:space="preserve">              228</t>
  </si>
  <si>
    <t>2024 год   проект</t>
  </si>
  <si>
    <r>
      <t xml:space="preserve">бюджет города                     </t>
    </r>
    <r>
      <rPr>
        <sz val="10"/>
        <rFont val="Times New Roman"/>
        <family val="1"/>
        <charset val="204"/>
      </rPr>
      <t>1102 144 0281680 414</t>
    </r>
  </si>
  <si>
    <t>"Приложение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07.02.2024  № 414-п</t>
  </si>
  <si>
    <t>"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</si>
  <si>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0703 064 0181680 414</t>
    </r>
  </si>
  <si>
    <r>
      <t xml:space="preserve">бюджет города                      </t>
    </r>
    <r>
      <rPr>
        <sz val="10"/>
        <rFont val="Times New Roman"/>
        <family val="1"/>
        <charset val="204"/>
      </rPr>
      <t xml:space="preserve"> 0702 051 Е1А2390 414</t>
    </r>
  </si>
  <si>
    <t>20.ED.015                                Гор 20.ED.015</t>
  </si>
  <si>
    <t xml:space="preserve">20.ED.015                              </t>
  </si>
  <si>
    <t>Канализация по ул. Вильямса в Советском районе                                               г. Брянска</t>
  </si>
  <si>
    <t>819 п.м</t>
  </si>
  <si>
    <r>
      <t xml:space="preserve">бюджет города                             </t>
    </r>
    <r>
      <rPr>
        <sz val="10"/>
        <rFont val="Times New Roman"/>
        <family val="1"/>
        <charset val="204"/>
      </rPr>
      <t xml:space="preserve"> 0502 08213SИ080 414  </t>
    </r>
  </si>
  <si>
    <t xml:space="preserve">19.EN.026             </t>
  </si>
  <si>
    <r>
      <t xml:space="preserve">областной бюджет                                     </t>
    </r>
    <r>
      <rPr>
        <sz val="10"/>
        <rFont val="Times New Roman"/>
        <family val="1"/>
        <charset val="204"/>
      </rPr>
      <t>0702 051 Е1А2390 414</t>
    </r>
  </si>
  <si>
    <t>20.ED.015                                Обл 20.ED.015</t>
  </si>
  <si>
    <t xml:space="preserve">20.ED.015                               </t>
  </si>
  <si>
    <r>
      <t xml:space="preserve">бюджет  города                             </t>
    </r>
    <r>
      <rPr>
        <sz val="10"/>
        <rFont val="Times New Roman"/>
        <family val="1"/>
        <charset val="204"/>
      </rPr>
      <t>0502 082 14S3520 466</t>
    </r>
    <r>
      <rPr>
        <i/>
        <sz val="10"/>
        <rFont val="Times New Roman"/>
        <family val="1"/>
        <charset val="204"/>
      </rPr>
      <t xml:space="preserve"> </t>
    </r>
  </si>
  <si>
    <t>12.WS.532                              Гор 12.WS.532</t>
  </si>
  <si>
    <t xml:space="preserve">12.WS.532                            </t>
  </si>
  <si>
    <t>12.WS.533                              Гор 12.WS.533</t>
  </si>
  <si>
    <t xml:space="preserve">12.WS.533                              </t>
  </si>
  <si>
    <t>Самотечный канализационный коллектор по пр. Московскому в Фокинском районе г. Брянска. Переход под железной дорогой D350 мм</t>
  </si>
  <si>
    <r>
      <t xml:space="preserve">областной бюджет                        </t>
    </r>
    <r>
      <rPr>
        <sz val="10"/>
        <rFont val="Times New Roman"/>
        <family val="1"/>
        <charset val="204"/>
      </rPr>
      <t>0502 082 13SИ080 466</t>
    </r>
    <r>
      <rPr>
        <i/>
        <sz val="10"/>
        <rFont val="Times New Roman"/>
        <family val="1"/>
        <charset val="204"/>
      </rPr>
      <t xml:space="preserve"> </t>
    </r>
  </si>
  <si>
    <r>
      <t xml:space="preserve">областной бюджет                       </t>
    </r>
    <r>
      <rPr>
        <sz val="10"/>
        <rFont val="Times New Roman"/>
        <family val="1"/>
        <charset val="204"/>
      </rPr>
      <t xml:space="preserve"> 0502 082 13SИ080 466 </t>
    </r>
  </si>
  <si>
    <t>Блочно-модульная котельная по адресу: Брянская область, г. Брянск, ул. Вокзальная, д. 172а</t>
  </si>
  <si>
    <t>30 МВт</t>
  </si>
  <si>
    <t xml:space="preserve">L= 228 м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</si>
  <si>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0409 024 0281680 414  </t>
    </r>
  </si>
  <si>
    <t xml:space="preserve">                228</t>
  </si>
  <si>
    <t>Канализационная сеть микрорайона «Малое Кузьмино» Советского района г. Брянска</t>
  </si>
  <si>
    <t>11 200 п.м</t>
  </si>
  <si>
    <t>ориентировочно 125 000 000,00</t>
  </si>
  <si>
    <t>ориентировочно 250 000 000,00</t>
  </si>
  <si>
    <t>12.WS.530                              Гор 12.WS.530</t>
  </si>
  <si>
    <t xml:space="preserve">12.WS.530                            </t>
  </si>
  <si>
    <t>12.WS.531                              Гор 12.WS.531</t>
  </si>
  <si>
    <t xml:space="preserve">12.WS.531                           </t>
  </si>
  <si>
    <r>
      <t xml:space="preserve">бюджет  города                             </t>
    </r>
    <r>
      <rPr>
        <sz val="10"/>
        <rFont val="Times New Roman"/>
        <family val="1"/>
        <charset val="204"/>
      </rPr>
      <t>0502 082 13SИ080 466</t>
    </r>
    <r>
      <rPr>
        <i/>
        <sz val="10"/>
        <rFont val="Times New Roman"/>
        <family val="1"/>
        <charset val="204"/>
      </rPr>
      <t xml:space="preserve"> </t>
    </r>
  </si>
  <si>
    <t>Подпрограмма "Жилищное хозяйство города Брянска"</t>
  </si>
  <si>
    <t>Обеспечение устойчивого сокращения непригодного для проживания жилищного фонда</t>
  </si>
  <si>
    <t>4 квартиры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</si>
  <si>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081 F36748S 412 </t>
    </r>
  </si>
  <si>
    <t>7561 Гор 310</t>
  </si>
  <si>
    <r>
      <t xml:space="preserve">областной бюджет                  </t>
    </r>
    <r>
      <rPr>
        <sz val="10"/>
        <rFont val="Times New Roman"/>
        <family val="1"/>
        <charset val="204"/>
      </rPr>
      <t xml:space="preserve"> 0501  081 F367484 412        </t>
    </r>
    <r>
      <rPr>
        <i/>
        <sz val="10"/>
        <rFont val="Times New Roman"/>
        <family val="1"/>
        <charset val="204"/>
      </rPr>
      <t xml:space="preserve">                      </t>
    </r>
  </si>
  <si>
    <t>7561 Обл 310</t>
  </si>
  <si>
    <t>7558 Фед 310</t>
  </si>
  <si>
    <t>Обеспечение мероприятий по переселению граждан из аварийного жилищного фонда</t>
  </si>
  <si>
    <t>3 квартиры</t>
  </si>
  <si>
    <r>
      <t xml:space="preserve">бюджет города                                 </t>
    </r>
    <r>
      <rPr>
        <sz val="10"/>
        <rFont val="Times New Roman"/>
        <family val="1"/>
        <charset val="204"/>
      </rPr>
      <t xml:space="preserve"> 0501  084 0581880 412 </t>
    </r>
  </si>
  <si>
    <t xml:space="preserve">                    310</t>
  </si>
  <si>
    <r>
      <t xml:space="preserve">средства Фонда развития территорий                                                      </t>
    </r>
    <r>
      <rPr>
        <sz val="10"/>
        <rFont val="Times New Roman"/>
        <family val="1"/>
        <charset val="204"/>
      </rPr>
      <t xml:space="preserve">0501  081 F367483 412        </t>
    </r>
    <r>
      <rPr>
        <i/>
        <sz val="10"/>
        <rFont val="Times New Roman"/>
        <family val="1"/>
        <charset val="204"/>
      </rPr>
      <t xml:space="preserve">                      </t>
    </r>
  </si>
  <si>
    <t>средства Фонда развития территорий</t>
  </si>
  <si>
    <t>Реконструкция здания МБУДО "Детская школа искусств № 10" по адресу:           г. Брянск,                                             ул. Б. Хмельницкого, д. 79</t>
  </si>
  <si>
    <t xml:space="preserve">  Водовод в п. Чайковичи Бежицкого района д=300мм                                                                                                                                                                                                                      </t>
  </si>
  <si>
    <t>Водовод от ТК "Трубчевский" до ул. Вали Сафроновой д=500мм</t>
  </si>
  <si>
    <t>Переход под железной дорогой Брянск-2 водовода речной воды в Фокинский район в две нитки - вынос с эстакады путепровода д=500мм</t>
  </si>
  <si>
    <t xml:space="preserve">Основные мероприятие программы </t>
  </si>
  <si>
    <r>
      <t>1 этаж,                   1136,26 м</t>
    </r>
    <r>
      <rPr>
        <vertAlign val="superscript"/>
        <sz val="10"/>
        <rFont val="Times New Roman"/>
        <family val="1"/>
        <charset val="204"/>
      </rPr>
      <t>2</t>
    </r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</si>
  <si>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0505 084 0281870 414  </t>
    </r>
  </si>
  <si>
    <t xml:space="preserve">                   228</t>
  </si>
  <si>
    <t>Строительство крематория  в г. Брянске</t>
  </si>
  <si>
    <t>ориентировочно 124 610 000,00</t>
  </si>
  <si>
    <r>
      <t xml:space="preserve">областной бюджет                              </t>
    </r>
    <r>
      <rPr>
        <sz val="10"/>
        <rFont val="Times New Roman"/>
        <family val="1"/>
        <charset val="204"/>
      </rPr>
      <t>0502 082 14S3520 466</t>
    </r>
    <r>
      <rPr>
        <i/>
        <sz val="10"/>
        <rFont val="Times New Roman"/>
        <family val="1"/>
        <charset val="204"/>
      </rPr>
      <t xml:space="preserve"> </t>
    </r>
  </si>
  <si>
    <t>12.WS.532                             Обл 12.WS.532</t>
  </si>
  <si>
    <t>12.WS.533                             Обл 12.WS.533</t>
  </si>
  <si>
    <t>12.WS.531                             Обл 12.WS.531</t>
  </si>
  <si>
    <t>12.WS.530                             Обл 12.WS.530</t>
  </si>
  <si>
    <t xml:space="preserve">12.WS.531                            </t>
  </si>
  <si>
    <t xml:space="preserve">12.WS.533                            </t>
  </si>
  <si>
    <r>
      <t xml:space="preserve">бюджет города                                   </t>
    </r>
    <r>
      <rPr>
        <sz val="10"/>
        <rFont val="Times New Roman"/>
        <family val="1"/>
        <charset val="204"/>
      </rPr>
      <t xml:space="preserve"> 0503 082 1213500 414  </t>
    </r>
  </si>
  <si>
    <r>
      <t xml:space="preserve">областной бюджет                    </t>
    </r>
    <r>
      <rPr>
        <sz val="10"/>
        <rFont val="Times New Roman"/>
        <family val="1"/>
        <charset val="204"/>
      </rPr>
      <t xml:space="preserve"> 0502 08213SИ080 414</t>
    </r>
  </si>
  <si>
    <t>19.EN.026             Обл 19.EN.026</t>
  </si>
  <si>
    <t>19.EN.026             Гор 19.EN.026</t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</si>
  <si>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06Д0820 412 </t>
    </r>
  </si>
  <si>
    <r>
      <t>областной бюджет</t>
    </r>
    <r>
      <rPr>
        <sz val="10"/>
        <rFont val="Times New Roman"/>
        <family val="1"/>
        <charset val="204"/>
      </rPr>
      <t xml:space="preserve">                                          1004  034 034 06Д08200 412 </t>
    </r>
  </si>
  <si>
    <t>982315002009           Обл 20.ED.019</t>
  </si>
  <si>
    <t xml:space="preserve">982315002009         </t>
  </si>
  <si>
    <t xml:space="preserve">982315002009          </t>
  </si>
  <si>
    <t>Водозаборное сооружение на территории технологического комплекса "Деповский" по адресу: г. Брянск, Володарский район, ул. Мичурина</t>
  </si>
  <si>
    <t>было</t>
  </si>
  <si>
    <t>изменение</t>
  </si>
  <si>
    <t>стало</t>
  </si>
  <si>
    <t>на 14.03.2024</t>
  </si>
  <si>
    <t xml:space="preserve">                                              Гор 16.ED.053</t>
  </si>
  <si>
    <t>Объем бюджетных ассигнований, всего 2024 год</t>
  </si>
  <si>
    <t>Итого</t>
  </si>
  <si>
    <t>48 чел/смену</t>
  </si>
  <si>
    <t>С3315701000001200005                         Гор 19.RS.026</t>
  </si>
  <si>
    <t>С3315701000001200005                         Обл 19.RS.026</t>
  </si>
  <si>
    <t xml:space="preserve">С3315701000001200005                        </t>
  </si>
  <si>
    <t xml:space="preserve">С3315701000001200005                      </t>
  </si>
  <si>
    <t>19.EN.035                            Обл 12.EN.035</t>
  </si>
  <si>
    <t xml:space="preserve">19.EN.035                               Гор 12.EN.035 </t>
  </si>
  <si>
    <t xml:space="preserve">19.EN.035                              </t>
  </si>
  <si>
    <t xml:space="preserve">19.EN.035                           </t>
  </si>
  <si>
    <t xml:space="preserve">                                                  Гор 19.EN.026</t>
  </si>
  <si>
    <t xml:space="preserve">                                                    Гор 19.EN.026             </t>
  </si>
  <si>
    <r>
      <t xml:space="preserve">бюджет города                      </t>
    </r>
    <r>
      <rPr>
        <sz val="10"/>
        <rFont val="Times New Roman"/>
        <family val="1"/>
        <charset val="204"/>
      </rPr>
      <t>0701 052 14S8050 414</t>
    </r>
  </si>
  <si>
    <r>
      <t xml:space="preserve">областной бюджет                     </t>
    </r>
    <r>
      <rPr>
        <sz val="10"/>
        <rFont val="Times New Roman"/>
        <family val="1"/>
        <charset val="204"/>
      </rPr>
      <t>0701  052 1498050 414</t>
    </r>
  </si>
  <si>
    <t>982315002002                                Гор 16.ED.046</t>
  </si>
  <si>
    <t>982315002002                                      Обл 16.ED.046</t>
  </si>
  <si>
    <t xml:space="preserve">982315002002                                  </t>
  </si>
  <si>
    <t>Сети уличного освещения по административным районам города Брянска</t>
  </si>
  <si>
    <t>982215001009        Гор 20.ED.019</t>
  </si>
  <si>
    <t>982215001009           Обл 20.ED.019</t>
  </si>
  <si>
    <t xml:space="preserve">982215001009         </t>
  </si>
  <si>
    <t>Блочно-модульная котельная по адресу: Брянская область, г. Брянск, ул. Олега Кошевого, 23</t>
  </si>
  <si>
    <t>200 КВт</t>
  </si>
  <si>
    <t>ориентировочно 10 000 000,00</t>
  </si>
  <si>
    <t>Строительство улично-дорожной сети в микрорайоне по ул. Флотской в Бежицком районе города Брянска (2 этап)</t>
  </si>
  <si>
    <t>1,895 км</t>
  </si>
  <si>
    <r>
      <t xml:space="preserve">бюджет города                                         </t>
    </r>
    <r>
      <rPr>
        <sz val="10"/>
        <rFont val="Times New Roman"/>
        <family val="1"/>
        <charset val="204"/>
      </rPr>
      <t xml:space="preserve"> 0409 021 R110203 414  </t>
    </r>
  </si>
  <si>
    <t>19.RS.072                             Гор 19.RS.072</t>
  </si>
  <si>
    <t>(+)5 979 992,32</t>
  </si>
  <si>
    <r>
      <t xml:space="preserve">областной бюджет                                       </t>
    </r>
    <r>
      <rPr>
        <sz val="10"/>
        <rFont val="Times New Roman"/>
        <family val="1"/>
        <charset val="204"/>
      </rPr>
      <t xml:space="preserve"> 0409 021 R110203 414  </t>
    </r>
  </si>
  <si>
    <t>(+)592 019 240,00</t>
  </si>
  <si>
    <t>19.RS.072                             Обл 19.RS.072</t>
  </si>
  <si>
    <t xml:space="preserve">19.RS.072                             </t>
  </si>
  <si>
    <t xml:space="preserve">19.RS.072                            </t>
  </si>
  <si>
    <t>И.о. начальника Управления по строительству и развитию территории города Брянска</t>
  </si>
  <si>
    <t>П.Н. Кулагин</t>
  </si>
  <si>
    <t>(-)3 891 191,92</t>
  </si>
  <si>
    <t>(-)7 042 010,10</t>
  </si>
  <si>
    <t>(-)385 228 000,00</t>
  </si>
  <si>
    <t>(-)697 159 000,00</t>
  </si>
  <si>
    <t>(+)3 891 191,92</t>
  </si>
  <si>
    <t>(+)7 042 010,10</t>
  </si>
  <si>
    <t>982415003009        Гор 20.ED.019</t>
  </si>
  <si>
    <t>(+)385 228 000,00</t>
  </si>
  <si>
    <t>(+)697 159 000,00</t>
  </si>
  <si>
    <t xml:space="preserve">982415003009        </t>
  </si>
  <si>
    <t>982415003009           Обл 20.ED.019</t>
  </si>
  <si>
    <t>А.В. Колесников</t>
  </si>
  <si>
    <t>(+)5 334 734,30</t>
  </si>
  <si>
    <t>(+)1 450 708,00</t>
  </si>
  <si>
    <t>(-)95 152,00</t>
  </si>
  <si>
    <t>(+)883 080,00</t>
  </si>
  <si>
    <t>(-) 123 410,00</t>
  </si>
  <si>
    <t>(+) 123 410,00</t>
  </si>
  <si>
    <t>Приложение                                                                                                                                                                         к постановлению Брянской городской администрации                                                                                                                    от 22.07.2024  № 2779-п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</si>
</sst>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[$-419]General"/>
  </numFmts>
  <fonts count="25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0"/>
      <color indexed="10"/>
      <name val="Arial Cyr"/>
      <charset val="204"/>
    </font>
    <font>
      <sz val="10"/>
      <color indexed="12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color indexed="12"/>
      <name val="Arial Cyr"/>
      <charset val="204"/>
    </font>
    <font>
      <b/>
      <i/>
      <sz val="10"/>
      <color indexed="10"/>
      <name val="Times New Roman"/>
      <family val="1"/>
      <charset val="204"/>
    </font>
    <font>
      <sz val="10"/>
      <color indexed="2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1"/>
      <color rgb="FF000000"/>
      <name val="Calibri"/>
      <family val="2"/>
      <charset val="204"/>
    </font>
    <font>
      <vertAlign val="superscript"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8" fillId="0" borderId="0">
      <alignment vertical="top" wrapText="1"/>
    </xf>
    <xf numFmtId="165" fontId="23" fillId="0" borderId="0"/>
  </cellStyleXfs>
  <cellXfs count="435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4" fontId="0" fillId="0" borderId="0" xfId="0" applyNumberFormat="1" applyAlignment="1">
      <alignment horizontal="left" vertical="top"/>
    </xf>
    <xf numFmtId="0" fontId="3" fillId="0" borderId="1" xfId="0" applyFont="1" applyBorder="1" applyAlignment="1">
      <alignment horizontal="center"/>
    </xf>
    <xf numFmtId="49" fontId="3" fillId="0" borderId="2" xfId="0" applyNumberFormat="1" applyFont="1" applyBorder="1" applyAlignment="1">
      <alignment horizontal="left" vertical="top" wrapText="1"/>
    </xf>
    <xf numFmtId="49" fontId="3" fillId="0" borderId="3" xfId="0" applyNumberFormat="1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/>
    </xf>
    <xf numFmtId="4" fontId="3" fillId="0" borderId="2" xfId="0" applyNumberFormat="1" applyFont="1" applyBorder="1" applyAlignment="1">
      <alignment horizontal="center" vertical="top"/>
    </xf>
    <xf numFmtId="0" fontId="7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4" fontId="3" fillId="0" borderId="3" xfId="0" applyNumberFormat="1" applyFont="1" applyBorder="1" applyAlignment="1">
      <alignment horizontal="center" vertical="top"/>
    </xf>
    <xf numFmtId="4" fontId="3" fillId="0" borderId="6" xfId="0" applyNumberFormat="1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/>
    <xf numFmtId="0" fontId="3" fillId="0" borderId="0" xfId="0" applyFont="1" applyBorder="1" applyAlignment="1">
      <alignment horizontal="center" vertical="top"/>
    </xf>
    <xf numFmtId="4" fontId="3" fillId="0" borderId="0" xfId="0" applyNumberFormat="1" applyFont="1" applyBorder="1" applyAlignment="1">
      <alignment horizontal="center" vertical="top"/>
    </xf>
    <xf numFmtId="0" fontId="0" fillId="0" borderId="0" xfId="0" applyBorder="1"/>
    <xf numFmtId="4" fontId="0" fillId="0" borderId="0" xfId="0" applyNumberFormat="1" applyBorder="1"/>
    <xf numFmtId="4" fontId="3" fillId="0" borderId="7" xfId="0" applyNumberFormat="1" applyFont="1" applyBorder="1" applyAlignment="1">
      <alignment horizontal="center" vertical="top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center" vertical="top" wrapText="1"/>
    </xf>
    <xf numFmtId="4" fontId="3" fillId="0" borderId="3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4" xfId="0" applyFont="1" applyFill="1" applyBorder="1" applyAlignment="1">
      <alignment vertical="top" wrapText="1"/>
    </xf>
    <xf numFmtId="0" fontId="3" fillId="0" borderId="8" xfId="0" applyFont="1" applyBorder="1" applyAlignment="1">
      <alignment horizontal="center" vertical="top"/>
    </xf>
    <xf numFmtId="4" fontId="3" fillId="0" borderId="8" xfId="0" applyNumberFormat="1" applyFont="1" applyBorder="1" applyAlignment="1">
      <alignment horizontal="center" vertical="top"/>
    </xf>
    <xf numFmtId="49" fontId="3" fillId="0" borderId="8" xfId="0" applyNumberFormat="1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5" fillId="0" borderId="9" xfId="0" applyFont="1" applyBorder="1" applyAlignment="1">
      <alignment horizontal="right" wrapText="1"/>
    </xf>
    <xf numFmtId="4" fontId="4" fillId="2" borderId="4" xfId="0" applyNumberFormat="1" applyFont="1" applyFill="1" applyBorder="1" applyAlignment="1">
      <alignment horizontal="center" vertical="top" wrapText="1"/>
    </xf>
    <xf numFmtId="4" fontId="3" fillId="0" borderId="8" xfId="0" applyNumberFormat="1" applyFont="1" applyBorder="1" applyAlignment="1">
      <alignment horizontal="center" vertical="top" wrapText="1"/>
    </xf>
    <xf numFmtId="0" fontId="3" fillId="0" borderId="8" xfId="0" applyNumberFormat="1" applyFont="1" applyBorder="1" applyAlignment="1">
      <alignment horizontal="left" vertical="top" wrapText="1"/>
    </xf>
    <xf numFmtId="4" fontId="0" fillId="0" borderId="0" xfId="0" applyNumberFormat="1" applyAlignment="1">
      <alignment horizontal="center" vertical="top"/>
    </xf>
    <xf numFmtId="0" fontId="10" fillId="0" borderId="4" xfId="0" applyFont="1" applyBorder="1" applyAlignment="1">
      <alignment horizontal="center" vertical="top"/>
    </xf>
    <xf numFmtId="4" fontId="10" fillId="0" borderId="4" xfId="0" applyNumberFormat="1" applyFont="1" applyBorder="1" applyAlignment="1">
      <alignment horizontal="center" vertical="top"/>
    </xf>
    <xf numFmtId="0" fontId="3" fillId="3" borderId="4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left" vertical="top"/>
    </xf>
    <xf numFmtId="4" fontId="1" fillId="0" borderId="0" xfId="0" applyNumberFormat="1" applyFont="1" applyAlignment="1">
      <alignment horizontal="left" vertical="top"/>
    </xf>
    <xf numFmtId="4" fontId="12" fillId="0" borderId="0" xfId="0" applyNumberFormat="1" applyFont="1" applyAlignment="1">
      <alignment horizontal="left" vertical="top"/>
    </xf>
    <xf numFmtId="0" fontId="8" fillId="0" borderId="4" xfId="0" applyFont="1" applyBorder="1" applyAlignment="1">
      <alignment vertical="top" wrapText="1"/>
    </xf>
    <xf numFmtId="4" fontId="8" fillId="0" borderId="4" xfId="0" applyNumberFormat="1" applyFont="1" applyBorder="1" applyAlignment="1">
      <alignment horizontal="center" vertical="top"/>
    </xf>
    <xf numFmtId="0" fontId="4" fillId="3" borderId="4" xfId="0" applyFont="1" applyFill="1" applyBorder="1"/>
    <xf numFmtId="4" fontId="4" fillId="3" borderId="4" xfId="0" applyNumberFormat="1" applyFont="1" applyFill="1" applyBorder="1"/>
    <xf numFmtId="4" fontId="4" fillId="3" borderId="4" xfId="0" applyNumberFormat="1" applyFont="1" applyFill="1" applyBorder="1" applyAlignment="1">
      <alignment horizontal="center" vertical="top"/>
    </xf>
    <xf numFmtId="4" fontId="3" fillId="0" borderId="4" xfId="0" applyNumberFormat="1" applyFont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4" fontId="3" fillId="3" borderId="4" xfId="0" applyNumberFormat="1" applyFont="1" applyFill="1" applyBorder="1" applyAlignment="1">
      <alignment horizontal="center" vertical="top"/>
    </xf>
    <xf numFmtId="4" fontId="13" fillId="0" borderId="0" xfId="0" applyNumberFormat="1" applyFont="1" applyAlignment="1">
      <alignment horizontal="left" vertical="top"/>
    </xf>
    <xf numFmtId="4" fontId="3" fillId="0" borderId="0" xfId="0" applyNumberFormat="1" applyFont="1"/>
    <xf numFmtId="4" fontId="3" fillId="0" borderId="0" xfId="0" applyNumberFormat="1" applyFont="1" applyAlignment="1">
      <alignment horizontal="left" vertical="top"/>
    </xf>
    <xf numFmtId="4" fontId="4" fillId="0" borderId="4" xfId="0" applyNumberFormat="1" applyFont="1" applyBorder="1" applyAlignment="1">
      <alignment horizontal="center" vertical="top"/>
    </xf>
    <xf numFmtId="0" fontId="3" fillId="0" borderId="2" xfId="0" applyFont="1" applyBorder="1"/>
    <xf numFmtId="4" fontId="3" fillId="0" borderId="2" xfId="0" applyNumberFormat="1" applyFont="1" applyBorder="1"/>
    <xf numFmtId="4" fontId="4" fillId="3" borderId="4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15" fillId="0" borderId="0" xfId="0" applyNumberFormat="1" applyFont="1" applyAlignment="1">
      <alignment horizontal="left" vertical="top"/>
    </xf>
    <xf numFmtId="0" fontId="7" fillId="0" borderId="7" xfId="0" applyFont="1" applyBorder="1" applyAlignment="1">
      <alignment vertical="top" wrapText="1"/>
    </xf>
    <xf numFmtId="0" fontId="12" fillId="0" borderId="0" xfId="0" applyFont="1" applyAlignment="1">
      <alignment horizontal="right" vertical="top"/>
    </xf>
    <xf numFmtId="4" fontId="3" fillId="0" borderId="0" xfId="0" applyNumberFormat="1" applyFont="1" applyBorder="1" applyAlignment="1">
      <alignment horizontal="left" vertical="top"/>
    </xf>
    <xf numFmtId="4" fontId="3" fillId="0" borderId="8" xfId="0" applyNumberFormat="1" applyFont="1" applyFill="1" applyBorder="1" applyAlignment="1">
      <alignment horizontal="center" vertical="top"/>
    </xf>
    <xf numFmtId="4" fontId="3" fillId="0" borderId="2" xfId="0" applyNumberFormat="1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/>
    </xf>
    <xf numFmtId="4" fontId="7" fillId="0" borderId="3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left" vertical="top" wrapText="1"/>
    </xf>
    <xf numFmtId="0" fontId="3" fillId="0" borderId="8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" fontId="3" fillId="0" borderId="5" xfId="0" applyNumberFormat="1" applyFont="1" applyFill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4" fontId="15" fillId="0" borderId="0" xfId="0" applyNumberFormat="1" applyFont="1"/>
    <xf numFmtId="0" fontId="8" fillId="0" borderId="4" xfId="0" applyFont="1" applyFill="1" applyBorder="1" applyAlignment="1">
      <alignment vertical="top" wrapText="1"/>
    </xf>
    <xf numFmtId="4" fontId="0" fillId="0" borderId="0" xfId="0" applyNumberFormat="1"/>
    <xf numFmtId="4" fontId="17" fillId="0" borderId="0" xfId="0" applyNumberFormat="1" applyFont="1"/>
    <xf numFmtId="4" fontId="3" fillId="0" borderId="7" xfId="0" applyNumberFormat="1" applyFont="1" applyFill="1" applyBorder="1" applyAlignment="1">
      <alignment horizontal="center" vertical="top"/>
    </xf>
    <xf numFmtId="4" fontId="10" fillId="0" borderId="2" xfId="0" applyNumberFormat="1" applyFont="1" applyFill="1" applyBorder="1" applyAlignment="1">
      <alignment horizontal="center" vertical="top"/>
    </xf>
    <xf numFmtId="4" fontId="3" fillId="0" borderId="8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/>
    </xf>
    <xf numFmtId="49" fontId="3" fillId="0" borderId="12" xfId="0" applyNumberFormat="1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 wrapText="1"/>
    </xf>
    <xf numFmtId="4" fontId="15" fillId="0" borderId="0" xfId="0" applyNumberFormat="1" applyFont="1" applyAlignment="1">
      <alignment vertical="top"/>
    </xf>
    <xf numFmtId="4" fontId="10" fillId="0" borderId="0" xfId="0" applyNumberFormat="1" applyFont="1" applyAlignment="1">
      <alignment horizontal="left" vertical="top"/>
    </xf>
    <xf numFmtId="4" fontId="10" fillId="0" borderId="1" xfId="0" applyNumberFormat="1" applyFont="1" applyBorder="1" applyAlignment="1">
      <alignment horizontal="center" vertical="top"/>
    </xf>
    <xf numFmtId="0" fontId="10" fillId="0" borderId="2" xfId="0" applyFont="1" applyBorder="1" applyAlignment="1">
      <alignment horizontal="center" vertical="top"/>
    </xf>
    <xf numFmtId="4" fontId="10" fillId="0" borderId="2" xfId="0" applyNumberFormat="1" applyFont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4" fontId="3" fillId="0" borderId="3" xfId="0" applyNumberFormat="1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top"/>
    </xf>
    <xf numFmtId="0" fontId="10" fillId="0" borderId="14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horizontal="center" vertical="top"/>
    </xf>
    <xf numFmtId="4" fontId="4" fillId="0" borderId="8" xfId="0" applyNumberFormat="1" applyFont="1" applyFill="1" applyBorder="1" applyAlignment="1">
      <alignment horizontal="center" vertical="top"/>
    </xf>
    <xf numFmtId="4" fontId="6" fillId="0" borderId="0" xfId="0" applyNumberFormat="1" applyFont="1" applyAlignment="1">
      <alignment horizontal="left" vertical="top"/>
    </xf>
    <xf numFmtId="4" fontId="4" fillId="2" borderId="4" xfId="0" applyNumberFormat="1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/>
    </xf>
    <xf numFmtId="4" fontId="14" fillId="2" borderId="4" xfId="0" applyNumberFormat="1" applyFont="1" applyFill="1" applyBorder="1" applyAlignment="1">
      <alignment horizontal="center" vertical="top"/>
    </xf>
    <xf numFmtId="0" fontId="3" fillId="0" borderId="8" xfId="0" applyFont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4" fillId="0" borderId="5" xfId="0" applyFont="1" applyFill="1" applyBorder="1" applyAlignment="1">
      <alignment horizontal="center" vertical="top"/>
    </xf>
    <xf numFmtId="4" fontId="4" fillId="0" borderId="5" xfId="0" applyNumberFormat="1" applyFont="1" applyFill="1" applyBorder="1" applyAlignment="1">
      <alignment horizontal="center" vertical="top"/>
    </xf>
    <xf numFmtId="4" fontId="8" fillId="0" borderId="1" xfId="0" applyNumberFormat="1" applyFont="1" applyBorder="1" applyAlignment="1">
      <alignment horizontal="center" vertical="top"/>
    </xf>
    <xf numFmtId="0" fontId="3" fillId="0" borderId="7" xfId="0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4" fontId="3" fillId="0" borderId="5" xfId="0" applyNumberFormat="1" applyFont="1" applyFill="1" applyBorder="1" applyAlignment="1">
      <alignment horizontal="center" vertical="top" wrapText="1"/>
    </xf>
    <xf numFmtId="4" fontId="15" fillId="0" borderId="0" xfId="0" applyNumberFormat="1" applyFont="1" applyAlignment="1">
      <alignment horizontal="center" vertical="top"/>
    </xf>
    <xf numFmtId="0" fontId="3" fillId="0" borderId="5" xfId="0" applyFont="1" applyFill="1" applyBorder="1" applyAlignment="1">
      <alignment horizontal="center" vertical="top" wrapText="1"/>
    </xf>
    <xf numFmtId="0" fontId="10" fillId="0" borderId="4" xfId="0" applyFont="1" applyBorder="1"/>
    <xf numFmtId="0" fontId="4" fillId="0" borderId="2" xfId="0" applyFont="1" applyFill="1" applyBorder="1" applyAlignment="1">
      <alignment horizontal="center" vertical="top"/>
    </xf>
    <xf numFmtId="4" fontId="4" fillId="0" borderId="2" xfId="0" applyNumberFormat="1" applyFont="1" applyFill="1" applyBorder="1" applyAlignment="1">
      <alignment horizontal="center" vertical="top"/>
    </xf>
    <xf numFmtId="0" fontId="7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/>
    </xf>
    <xf numFmtId="4" fontId="3" fillId="0" borderId="8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/>
    </xf>
    <xf numFmtId="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7" fillId="0" borderId="8" xfId="0" applyNumberFormat="1" applyFont="1" applyBorder="1" applyAlignment="1">
      <alignment horizontal="center" vertical="top"/>
    </xf>
    <xf numFmtId="4" fontId="14" fillId="0" borderId="8" xfId="0" applyNumberFormat="1" applyFont="1" applyBorder="1" applyAlignment="1">
      <alignment horizontal="center" vertical="top"/>
    </xf>
    <xf numFmtId="4" fontId="14" fillId="0" borderId="2" xfId="0" applyNumberFormat="1" applyFont="1" applyBorder="1" applyAlignment="1">
      <alignment horizontal="center" vertical="top"/>
    </xf>
    <xf numFmtId="4" fontId="3" fillId="0" borderId="4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left" vertical="top" wrapText="1"/>
    </xf>
    <xf numFmtId="4" fontId="0" fillId="0" borderId="0" xfId="0" applyNumberFormat="1" applyBorder="1" applyAlignment="1">
      <alignment horizontal="left" vertical="top"/>
    </xf>
    <xf numFmtId="0" fontId="7" fillId="5" borderId="2" xfId="0" applyFont="1" applyFill="1" applyBorder="1" applyAlignment="1">
      <alignment vertical="top" wrapText="1"/>
    </xf>
    <xf numFmtId="0" fontId="7" fillId="5" borderId="5" xfId="0" applyFont="1" applyFill="1" applyBorder="1" applyAlignment="1">
      <alignment vertical="top" wrapText="1"/>
    </xf>
    <xf numFmtId="0" fontId="7" fillId="5" borderId="3" xfId="0" applyFont="1" applyFill="1" applyBorder="1" applyAlignment="1">
      <alignment vertical="top" wrapText="1"/>
    </xf>
    <xf numFmtId="0" fontId="19" fillId="0" borderId="0" xfId="0" applyFont="1" applyAlignment="1">
      <alignment vertical="top"/>
    </xf>
    <xf numFmtId="49" fontId="3" fillId="0" borderId="3" xfId="0" applyNumberFormat="1" applyFont="1" applyBorder="1" applyAlignment="1">
      <alignment horizontal="center" vertical="top" wrapText="1"/>
    </xf>
    <xf numFmtId="4" fontId="3" fillId="5" borderId="5" xfId="0" applyNumberFormat="1" applyFont="1" applyFill="1" applyBorder="1" applyAlignment="1">
      <alignment horizontal="center" vertical="top" wrapText="1"/>
    </xf>
    <xf numFmtId="49" fontId="3" fillId="5" borderId="2" xfId="0" applyNumberFormat="1" applyFont="1" applyFill="1" applyBorder="1" applyAlignment="1">
      <alignment horizontal="left" vertical="top" wrapText="1"/>
    </xf>
    <xf numFmtId="0" fontId="10" fillId="0" borderId="0" xfId="0" applyFont="1" applyBorder="1" applyAlignment="1">
      <alignment vertical="top" wrapText="1"/>
    </xf>
    <xf numFmtId="4" fontId="21" fillId="0" borderId="2" xfId="0" applyNumberFormat="1" applyFont="1" applyBorder="1" applyAlignment="1">
      <alignment horizontal="center" vertical="top"/>
    </xf>
    <xf numFmtId="49" fontId="21" fillId="0" borderId="3" xfId="0" applyNumberFormat="1" applyFont="1" applyBorder="1" applyAlignment="1">
      <alignment horizontal="left" vertical="top" wrapText="1"/>
    </xf>
    <xf numFmtId="0" fontId="21" fillId="0" borderId="3" xfId="0" applyFont="1" applyBorder="1" applyAlignment="1">
      <alignment horizontal="center" vertical="top" wrapText="1"/>
    </xf>
    <xf numFmtId="4" fontId="21" fillId="0" borderId="3" xfId="0" applyNumberFormat="1" applyFont="1" applyBorder="1" applyAlignment="1">
      <alignment horizontal="center" vertical="top"/>
    </xf>
    <xf numFmtId="0" fontId="22" fillId="0" borderId="2" xfId="0" applyFont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4" fontId="21" fillId="0" borderId="3" xfId="0" applyNumberFormat="1" applyFont="1" applyFill="1" applyBorder="1" applyAlignment="1">
      <alignment horizontal="center" vertical="top" wrapText="1"/>
    </xf>
    <xf numFmtId="4" fontId="21" fillId="0" borderId="7" xfId="0" applyNumberFormat="1" applyFont="1" applyFill="1" applyBorder="1" applyAlignment="1">
      <alignment horizontal="center" vertical="top" wrapText="1"/>
    </xf>
    <xf numFmtId="49" fontId="21" fillId="0" borderId="4" xfId="0" applyNumberFormat="1" applyFont="1" applyFill="1" applyBorder="1" applyAlignment="1">
      <alignment horizontal="left" vertical="top" wrapText="1"/>
    </xf>
    <xf numFmtId="0" fontId="21" fillId="0" borderId="4" xfId="0" applyFont="1" applyFill="1" applyBorder="1" applyAlignment="1">
      <alignment horizontal="center" vertical="top" wrapText="1"/>
    </xf>
    <xf numFmtId="4" fontId="21" fillId="0" borderId="3" xfId="0" applyNumberFormat="1" applyFont="1" applyBorder="1" applyAlignment="1">
      <alignment horizontal="center" vertical="top" wrapText="1"/>
    </xf>
    <xf numFmtId="4" fontId="21" fillId="0" borderId="7" xfId="0" applyNumberFormat="1" applyFont="1" applyBorder="1" applyAlignment="1">
      <alignment horizontal="center" vertical="top" wrapText="1"/>
    </xf>
    <xf numFmtId="0" fontId="21" fillId="0" borderId="7" xfId="0" applyFont="1" applyFill="1" applyBorder="1" applyAlignment="1">
      <alignment vertical="top" wrapText="1"/>
    </xf>
    <xf numFmtId="0" fontId="21" fillId="0" borderId="2" xfId="0" applyFont="1" applyBorder="1" applyAlignment="1">
      <alignment horizontal="center" vertical="top"/>
    </xf>
    <xf numFmtId="0" fontId="21" fillId="0" borderId="3" xfId="0" applyFont="1" applyBorder="1" applyAlignment="1">
      <alignment horizontal="center" vertical="top"/>
    </xf>
    <xf numFmtId="0" fontId="21" fillId="0" borderId="7" xfId="0" applyFont="1" applyBorder="1" applyAlignment="1">
      <alignment horizontal="center" vertical="top"/>
    </xf>
    <xf numFmtId="4" fontId="21" fillId="0" borderId="7" xfId="0" applyNumberFormat="1" applyFont="1" applyBorder="1" applyAlignment="1">
      <alignment horizontal="center" vertical="top"/>
    </xf>
    <xf numFmtId="0" fontId="21" fillId="0" borderId="7" xfId="0" applyFont="1" applyBorder="1" applyAlignment="1">
      <alignment horizontal="center" vertical="top" wrapText="1"/>
    </xf>
    <xf numFmtId="0" fontId="3" fillId="5" borderId="8" xfId="0" applyFont="1" applyFill="1" applyBorder="1" applyAlignment="1">
      <alignment vertical="top" wrapText="1"/>
    </xf>
    <xf numFmtId="0" fontId="7" fillId="5" borderId="7" xfId="0" applyFont="1" applyFill="1" applyBorder="1" applyAlignment="1">
      <alignment vertical="top" wrapText="1"/>
    </xf>
    <xf numFmtId="49" fontId="3" fillId="0" borderId="13" xfId="0" applyNumberFormat="1" applyFont="1" applyBorder="1" applyAlignment="1">
      <alignment horizontal="left" vertical="top" wrapText="1"/>
    </xf>
    <xf numFmtId="0" fontId="7" fillId="0" borderId="6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49" fontId="3" fillId="5" borderId="8" xfId="0" applyNumberFormat="1" applyFont="1" applyFill="1" applyBorder="1" applyAlignment="1">
      <alignment horizontal="left" vertical="top" wrapText="1"/>
    </xf>
    <xf numFmtId="4" fontId="3" fillId="5" borderId="2" xfId="0" applyNumberFormat="1" applyFont="1" applyFill="1" applyBorder="1" applyAlignment="1">
      <alignment horizontal="center" vertical="top"/>
    </xf>
    <xf numFmtId="4" fontId="3" fillId="5" borderId="3" xfId="0" applyNumberFormat="1" applyFont="1" applyFill="1" applyBorder="1" applyAlignment="1">
      <alignment horizontal="center" vertical="top"/>
    </xf>
    <xf numFmtId="4" fontId="3" fillId="5" borderId="8" xfId="0" applyNumberFormat="1" applyFont="1" applyFill="1" applyBorder="1" applyAlignment="1">
      <alignment horizontal="center" vertical="top" wrapText="1"/>
    </xf>
    <xf numFmtId="4" fontId="3" fillId="5" borderId="3" xfId="0" applyNumberFormat="1" applyFont="1" applyFill="1" applyBorder="1" applyAlignment="1">
      <alignment horizontal="center" vertical="top" wrapText="1"/>
    </xf>
    <xf numFmtId="4" fontId="3" fillId="0" borderId="7" xfId="0" applyNumberFormat="1" applyFont="1" applyBorder="1" applyAlignment="1">
      <alignment horizontal="center" vertical="top" wrapText="1"/>
    </xf>
    <xf numFmtId="4" fontId="8" fillId="0" borderId="4" xfId="0" applyNumberFormat="1" applyFont="1" applyBorder="1" applyAlignment="1">
      <alignment horizontal="center" vertical="top" wrapText="1"/>
    </xf>
    <xf numFmtId="4" fontId="3" fillId="5" borderId="8" xfId="0" applyNumberFormat="1" applyFont="1" applyFill="1" applyBorder="1" applyAlignment="1">
      <alignment horizontal="center" vertical="top"/>
    </xf>
    <xf numFmtId="4" fontId="21" fillId="5" borderId="8" xfId="0" applyNumberFormat="1" applyFont="1" applyFill="1" applyBorder="1" applyAlignment="1">
      <alignment horizontal="center" vertical="top"/>
    </xf>
    <xf numFmtId="4" fontId="4" fillId="5" borderId="4" xfId="0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horizontal="left" vertical="top" wrapText="1"/>
    </xf>
    <xf numFmtId="0" fontId="3" fillId="5" borderId="2" xfId="0" applyFont="1" applyFill="1" applyBorder="1" applyAlignment="1">
      <alignment vertical="top" wrapText="1"/>
    </xf>
    <xf numFmtId="0" fontId="4" fillId="5" borderId="4" xfId="0" applyFont="1" applyFill="1" applyBorder="1" applyAlignment="1">
      <alignment vertical="top" wrapText="1"/>
    </xf>
    <xf numFmtId="0" fontId="3" fillId="5" borderId="4" xfId="0" applyFont="1" applyFill="1" applyBorder="1" applyAlignment="1">
      <alignment horizontal="left" vertical="top" wrapText="1"/>
    </xf>
    <xf numFmtId="0" fontId="3" fillId="5" borderId="4" xfId="0" applyFont="1" applyFill="1" applyBorder="1" applyAlignment="1">
      <alignment horizontal="center" vertical="top"/>
    </xf>
    <xf numFmtId="4" fontId="3" fillId="5" borderId="4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left" vertical="top" wrapText="1"/>
    </xf>
    <xf numFmtId="0" fontId="3" fillId="5" borderId="8" xfId="0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/>
    </xf>
    <xf numFmtId="4" fontId="3" fillId="5" borderId="2" xfId="0" applyNumberFormat="1" applyFont="1" applyFill="1" applyBorder="1" applyAlignment="1">
      <alignment horizontal="center" vertical="top" wrapText="1"/>
    </xf>
    <xf numFmtId="4" fontId="21" fillId="5" borderId="3" xfId="0" applyNumberFormat="1" applyFont="1" applyFill="1" applyBorder="1" applyAlignment="1">
      <alignment horizontal="center" vertical="top"/>
    </xf>
    <xf numFmtId="4" fontId="3" fillId="5" borderId="7" xfId="0" applyNumberFormat="1" applyFont="1" applyFill="1" applyBorder="1" applyAlignment="1">
      <alignment horizontal="center" vertical="top"/>
    </xf>
    <xf numFmtId="4" fontId="3" fillId="5" borderId="6" xfId="0" applyNumberFormat="1" applyFont="1" applyFill="1" applyBorder="1" applyAlignment="1">
      <alignment horizontal="center" vertical="top"/>
    </xf>
    <xf numFmtId="0" fontId="3" fillId="5" borderId="8" xfId="0" applyFont="1" applyFill="1" applyBorder="1" applyAlignment="1">
      <alignment horizontal="center" vertical="top"/>
    </xf>
    <xf numFmtId="0" fontId="3" fillId="5" borderId="7" xfId="0" applyFont="1" applyFill="1" applyBorder="1" applyAlignment="1">
      <alignment horizontal="center" vertical="top" wrapText="1"/>
    </xf>
    <xf numFmtId="0" fontId="21" fillId="5" borderId="7" xfId="0" applyFont="1" applyFill="1" applyBorder="1" applyAlignment="1">
      <alignment horizontal="center" vertical="top"/>
    </xf>
    <xf numFmtId="4" fontId="3" fillId="5" borderId="7" xfId="0" applyNumberFormat="1" applyFont="1" applyFill="1" applyBorder="1" applyAlignment="1">
      <alignment horizontal="center" vertical="top" wrapText="1"/>
    </xf>
    <xf numFmtId="49" fontId="16" fillId="0" borderId="4" xfId="0" applyNumberFormat="1" applyFont="1" applyBorder="1" applyAlignment="1">
      <alignment horizontal="left" vertical="top" wrapText="1"/>
    </xf>
    <xf numFmtId="0" fontId="16" fillId="0" borderId="4" xfId="0" applyFont="1" applyBorder="1" applyAlignment="1">
      <alignment horizontal="center" vertical="top"/>
    </xf>
    <xf numFmtId="4" fontId="16" fillId="0" borderId="4" xfId="0" applyNumberFormat="1" applyFont="1" applyBorder="1" applyAlignment="1">
      <alignment horizontal="center" vertical="top"/>
    </xf>
    <xf numFmtId="49" fontId="3" fillId="5" borderId="5" xfId="0" applyNumberFormat="1" applyFont="1" applyFill="1" applyBorder="1" applyAlignment="1">
      <alignment horizontal="left" vertical="top" wrapText="1"/>
    </xf>
    <xf numFmtId="0" fontId="7" fillId="5" borderId="6" xfId="0" applyFont="1" applyFill="1" applyBorder="1" applyAlignment="1">
      <alignment vertical="top" wrapText="1"/>
    </xf>
    <xf numFmtId="49" fontId="3" fillId="5" borderId="6" xfId="0" applyNumberFormat="1" applyFont="1" applyFill="1" applyBorder="1" applyAlignment="1">
      <alignment horizontal="left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vertical="top" wrapText="1"/>
    </xf>
    <xf numFmtId="0" fontId="3" fillId="5" borderId="5" xfId="0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 wrapText="1"/>
    </xf>
    <xf numFmtId="49" fontId="3" fillId="0" borderId="8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/>
    </xf>
    <xf numFmtId="49" fontId="3" fillId="0" borderId="8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49" fontId="3" fillId="5" borderId="17" xfId="0" applyNumberFormat="1" applyFont="1" applyFill="1" applyBorder="1" applyAlignment="1">
      <alignment horizontal="left" vertical="top" wrapText="1"/>
    </xf>
    <xf numFmtId="49" fontId="3" fillId="5" borderId="12" xfId="0" applyNumberFormat="1" applyFont="1" applyFill="1" applyBorder="1" applyAlignment="1">
      <alignment horizontal="left" vertical="top" wrapText="1"/>
    </xf>
    <xf numFmtId="0" fontId="3" fillId="5" borderId="3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21" fillId="0" borderId="2" xfId="0" applyFont="1" applyFill="1" applyBorder="1" applyAlignment="1">
      <alignment vertical="top" wrapText="1"/>
    </xf>
    <xf numFmtId="49" fontId="3" fillId="0" borderId="4" xfId="0" applyNumberFormat="1" applyFont="1" applyFill="1" applyBorder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14" fontId="10" fillId="0" borderId="4" xfId="0" applyNumberFormat="1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4" fontId="3" fillId="5" borderId="6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right"/>
    </xf>
    <xf numFmtId="4" fontId="19" fillId="0" borderId="0" xfId="0" applyNumberFormat="1" applyFont="1" applyAlignment="1">
      <alignment horizontal="left" vertical="top"/>
    </xf>
    <xf numFmtId="4" fontId="19" fillId="0" borderId="0" xfId="0" applyNumberFormat="1" applyFont="1" applyAlignment="1">
      <alignment horizontal="center" vertical="top"/>
    </xf>
    <xf numFmtId="4" fontId="9" fillId="5" borderId="0" xfId="0" applyNumberFormat="1" applyFont="1" applyFill="1" applyBorder="1" applyAlignment="1">
      <alignment horizontal="center" vertical="top"/>
    </xf>
    <xf numFmtId="4" fontId="20" fillId="5" borderId="0" xfId="0" applyNumberFormat="1" applyFont="1" applyFill="1" applyBorder="1" applyAlignment="1">
      <alignment horizontal="center" vertical="top"/>
    </xf>
    <xf numFmtId="49" fontId="3" fillId="5" borderId="7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/>
    <xf numFmtId="4" fontId="4" fillId="0" borderId="5" xfId="0" applyNumberFormat="1" applyFont="1" applyFill="1" applyBorder="1"/>
    <xf numFmtId="0" fontId="4" fillId="0" borderId="5" xfId="0" applyFont="1" applyFill="1" applyBorder="1" applyAlignment="1">
      <alignment vertical="top" wrapText="1"/>
    </xf>
    <xf numFmtId="14" fontId="3" fillId="0" borderId="5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/>
    <xf numFmtId="4" fontId="4" fillId="0" borderId="2" xfId="0" applyNumberFormat="1" applyFont="1" applyFill="1" applyBorder="1"/>
    <xf numFmtId="0" fontId="3" fillId="0" borderId="5" xfId="0" applyFont="1" applyBorder="1" applyAlignment="1">
      <alignment horizontal="center" vertical="top" wrapText="1"/>
    </xf>
    <xf numFmtId="4" fontId="3" fillId="5" borderId="4" xfId="0" applyNumberFormat="1" applyFont="1" applyFill="1" applyBorder="1" applyAlignment="1">
      <alignment horizontal="center" vertical="top" wrapText="1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center" vertical="top"/>
    </xf>
    <xf numFmtId="4" fontId="5" fillId="0" borderId="0" xfId="0" applyNumberFormat="1" applyFont="1" applyBorder="1" applyAlignment="1">
      <alignment horizontal="center" vertical="top"/>
    </xf>
    <xf numFmtId="0" fontId="4" fillId="2" borderId="4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164" fontId="9" fillId="0" borderId="10" xfId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1" fillId="5" borderId="2" xfId="0" applyFont="1" applyFill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left" vertical="top"/>
    </xf>
    <xf numFmtId="0" fontId="21" fillId="0" borderId="4" xfId="0" applyFont="1" applyBorder="1"/>
    <xf numFmtId="4" fontId="21" fillId="0" borderId="4" xfId="0" applyNumberFormat="1" applyFont="1" applyBorder="1"/>
    <xf numFmtId="49" fontId="21" fillId="0" borderId="2" xfId="0" applyNumberFormat="1" applyFont="1" applyBorder="1" applyAlignment="1">
      <alignment horizontal="left" vertical="top" wrapText="1"/>
    </xf>
    <xf numFmtId="49" fontId="21" fillId="5" borderId="2" xfId="0" applyNumberFormat="1" applyFont="1" applyFill="1" applyBorder="1" applyAlignment="1">
      <alignment horizontal="left" vertical="top" wrapText="1"/>
    </xf>
    <xf numFmtId="49" fontId="21" fillId="5" borderId="3" xfId="0" applyNumberFormat="1" applyFont="1" applyFill="1" applyBorder="1" applyAlignment="1">
      <alignment horizontal="left" vertical="top" wrapText="1"/>
    </xf>
    <xf numFmtId="4" fontId="22" fillId="0" borderId="3" xfId="0" applyNumberFormat="1" applyFont="1" applyBorder="1" applyAlignment="1">
      <alignment horizontal="center" vertical="top"/>
    </xf>
    <xf numFmtId="4" fontId="21" fillId="5" borderId="2" xfId="0" applyNumberFormat="1" applyFont="1" applyFill="1" applyBorder="1" applyAlignment="1">
      <alignment horizontal="center" vertical="top"/>
    </xf>
    <xf numFmtId="0" fontId="21" fillId="5" borderId="2" xfId="0" applyFont="1" applyFill="1" applyBorder="1" applyAlignment="1">
      <alignment horizontal="center" vertical="top" wrapText="1"/>
    </xf>
    <xf numFmtId="0" fontId="22" fillId="0" borderId="2" xfId="0" applyFont="1" applyFill="1" applyBorder="1" applyAlignment="1">
      <alignment vertical="top" wrapText="1"/>
    </xf>
    <xf numFmtId="0" fontId="21" fillId="0" borderId="2" xfId="0" applyFont="1" applyFill="1" applyBorder="1" applyAlignment="1">
      <alignment horizontal="center" vertical="top" wrapText="1"/>
    </xf>
    <xf numFmtId="4" fontId="21" fillId="5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Fill="1" applyBorder="1" applyAlignment="1">
      <alignment horizontal="center" vertical="top"/>
    </xf>
    <xf numFmtId="0" fontId="21" fillId="0" borderId="7" xfId="0" applyFont="1" applyFill="1" applyBorder="1" applyAlignment="1">
      <alignment horizontal="center" vertical="top" wrapText="1"/>
    </xf>
    <xf numFmtId="4" fontId="21" fillId="0" borderId="7" xfId="0" applyNumberFormat="1" applyFont="1" applyFill="1" applyBorder="1" applyAlignment="1">
      <alignment horizontal="center" vertical="top"/>
    </xf>
    <xf numFmtId="14" fontId="21" fillId="0" borderId="2" xfId="0" applyNumberFormat="1" applyFont="1" applyFill="1" applyBorder="1" applyAlignment="1">
      <alignment horizontal="center" vertical="top" wrapText="1"/>
    </xf>
    <xf numFmtId="4" fontId="21" fillId="0" borderId="2" xfId="0" applyNumberFormat="1" applyFont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49" fontId="21" fillId="5" borderId="4" xfId="0" applyNumberFormat="1" applyFont="1" applyFill="1" applyBorder="1" applyAlignment="1">
      <alignment horizontal="left" vertical="top" wrapText="1"/>
    </xf>
    <xf numFmtId="14" fontId="21" fillId="0" borderId="4" xfId="0" applyNumberFormat="1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vertical="top" wrapText="1"/>
    </xf>
    <xf numFmtId="4" fontId="21" fillId="5" borderId="7" xfId="0" applyNumberFormat="1" applyFont="1" applyFill="1" applyBorder="1" applyAlignment="1">
      <alignment horizontal="center" vertical="top"/>
    </xf>
    <xf numFmtId="4" fontId="21" fillId="5" borderId="1" xfId="0" applyNumberFormat="1" applyFont="1" applyFill="1" applyBorder="1" applyAlignment="1">
      <alignment horizontal="center" vertical="top" wrapText="1"/>
    </xf>
    <xf numFmtId="0" fontId="21" fillId="5" borderId="2" xfId="0" applyFont="1" applyFill="1" applyBorder="1" applyAlignment="1">
      <alignment vertical="top" wrapText="1"/>
    </xf>
    <xf numFmtId="0" fontId="21" fillId="5" borderId="7" xfId="0" applyFont="1" applyFill="1" applyBorder="1" applyAlignment="1">
      <alignment vertical="top" wrapText="1"/>
    </xf>
    <xf numFmtId="4" fontId="21" fillId="0" borderId="6" xfId="0" applyNumberFormat="1" applyFont="1" applyBorder="1" applyAlignment="1">
      <alignment horizontal="center" vertical="top"/>
    </xf>
    <xf numFmtId="4" fontId="21" fillId="5" borderId="6" xfId="0" applyNumberFormat="1" applyFont="1" applyFill="1" applyBorder="1" applyAlignment="1">
      <alignment horizontal="center" vertical="top"/>
    </xf>
    <xf numFmtId="4" fontId="21" fillId="5" borderId="4" xfId="0" applyNumberFormat="1" applyFont="1" applyFill="1" applyBorder="1" applyAlignment="1">
      <alignment horizontal="center" vertical="top"/>
    </xf>
    <xf numFmtId="49" fontId="21" fillId="0" borderId="1" xfId="0" applyNumberFormat="1" applyFont="1" applyFill="1" applyBorder="1" applyAlignment="1">
      <alignment horizontal="center" vertical="top" wrapText="1"/>
    </xf>
    <xf numFmtId="4" fontId="21" fillId="5" borderId="1" xfId="0" applyNumberFormat="1" applyFont="1" applyFill="1" applyBorder="1" applyAlignment="1">
      <alignment horizontal="center" vertical="top"/>
    </xf>
    <xf numFmtId="49" fontId="3" fillId="0" borderId="1" xfId="0" applyNumberFormat="1" applyFont="1" applyFill="1" applyBorder="1" applyAlignment="1">
      <alignment horizontal="left" vertical="top" wrapText="1"/>
    </xf>
    <xf numFmtId="0" fontId="7" fillId="5" borderId="3" xfId="0" applyFont="1" applyFill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/>
    </xf>
    <xf numFmtId="0" fontId="8" fillId="5" borderId="4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center" vertical="top"/>
    </xf>
    <xf numFmtId="0" fontId="7" fillId="0" borderId="4" xfId="0" applyFont="1" applyBorder="1" applyAlignment="1">
      <alignment vertical="top" wrapText="1"/>
    </xf>
    <xf numFmtId="49" fontId="3" fillId="0" borderId="4" xfId="0" applyNumberFormat="1" applyFont="1" applyBorder="1" applyAlignment="1">
      <alignment horizontal="left" vertical="top" wrapText="1"/>
    </xf>
    <xf numFmtId="4" fontId="3" fillId="0" borderId="5" xfId="0" applyNumberFormat="1" applyFont="1" applyBorder="1" applyAlignment="1">
      <alignment horizontal="center" vertical="top"/>
    </xf>
    <xf numFmtId="4" fontId="7" fillId="5" borderId="3" xfId="0" applyNumberFormat="1" applyFont="1" applyFill="1" applyBorder="1" applyAlignment="1">
      <alignment horizontal="center" vertical="top"/>
    </xf>
    <xf numFmtId="4" fontId="7" fillId="5" borderId="7" xfId="0" applyNumberFormat="1" applyFont="1" applyFill="1" applyBorder="1" applyAlignment="1">
      <alignment horizontal="center" vertical="top"/>
    </xf>
    <xf numFmtId="0" fontId="21" fillId="0" borderId="6" xfId="0" applyFont="1" applyBorder="1" applyAlignment="1">
      <alignment horizontal="center" vertical="top"/>
    </xf>
    <xf numFmtId="4" fontId="7" fillId="5" borderId="2" xfId="0" applyNumberFormat="1" applyFont="1" applyFill="1" applyBorder="1" applyAlignment="1">
      <alignment horizontal="center" vertical="top"/>
    </xf>
    <xf numFmtId="0" fontId="3" fillId="0" borderId="6" xfId="0" applyFont="1" applyBorder="1" applyAlignment="1">
      <alignment horizontal="center" vertical="top"/>
    </xf>
    <xf numFmtId="4" fontId="4" fillId="0" borderId="8" xfId="0" applyNumberFormat="1" applyFont="1" applyBorder="1" applyAlignment="1">
      <alignment horizontal="center" vertical="top" wrapText="1"/>
    </xf>
    <xf numFmtId="4" fontId="8" fillId="0" borderId="4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left" vertical="top" wrapText="1"/>
    </xf>
    <xf numFmtId="0" fontId="3" fillId="0" borderId="7" xfId="0" applyFont="1" applyFill="1" applyBorder="1" applyAlignment="1">
      <alignment vertical="top" wrapText="1"/>
    </xf>
    <xf numFmtId="4" fontId="7" fillId="0" borderId="7" xfId="0" applyNumberFormat="1" applyFont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4" fontId="7" fillId="0" borderId="3" xfId="0" applyNumberFormat="1" applyFont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14" fontId="3" fillId="0" borderId="4" xfId="0" applyNumberFormat="1" applyFont="1" applyBorder="1" applyAlignment="1">
      <alignment vertical="top" wrapText="1"/>
    </xf>
    <xf numFmtId="0" fontId="4" fillId="3" borderId="7" xfId="0" applyFont="1" applyFill="1" applyBorder="1" applyAlignment="1">
      <alignment vertical="top" wrapText="1"/>
    </xf>
    <xf numFmtId="0" fontId="3" fillId="3" borderId="7" xfId="0" applyFont="1" applyFill="1" applyBorder="1" applyAlignment="1">
      <alignment vertical="top" wrapText="1"/>
    </xf>
    <xf numFmtId="4" fontId="4" fillId="3" borderId="7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center" vertical="top"/>
    </xf>
    <xf numFmtId="0" fontId="3" fillId="5" borderId="5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vertical="center" wrapText="1"/>
    </xf>
    <xf numFmtId="49" fontId="3" fillId="0" borderId="4" xfId="0" applyNumberFormat="1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4" fontId="3" fillId="5" borderId="4" xfId="0" applyNumberFormat="1" applyFont="1" applyFill="1" applyBorder="1" applyAlignment="1">
      <alignment horizontal="center" vertical="center"/>
    </xf>
    <xf numFmtId="4" fontId="8" fillId="0" borderId="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top" wrapText="1"/>
    </xf>
    <xf numFmtId="49" fontId="3" fillId="0" borderId="6" xfId="0" applyNumberFormat="1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4" fontId="4" fillId="5" borderId="7" xfId="0" applyNumberFormat="1" applyFont="1" applyFill="1" applyBorder="1" applyAlignment="1">
      <alignment horizontal="center" vertical="top"/>
    </xf>
    <xf numFmtId="4" fontId="7" fillId="5" borderId="2" xfId="0" applyNumberFormat="1" applyFont="1" applyFill="1" applyBorder="1" applyAlignment="1">
      <alignment horizontal="center" vertical="top" wrapText="1"/>
    </xf>
    <xf numFmtId="4" fontId="7" fillId="5" borderId="7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10" fillId="0" borderId="3" xfId="0" applyFont="1" applyBorder="1" applyAlignment="1">
      <alignment vertical="top" wrapText="1"/>
    </xf>
    <xf numFmtId="14" fontId="10" fillId="0" borderId="3" xfId="0" applyNumberFormat="1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4" fontId="7" fillId="0" borderId="2" xfId="0" applyNumberFormat="1" applyFont="1" applyBorder="1" applyAlignment="1">
      <alignment horizontal="center" vertical="top" wrapText="1"/>
    </xf>
    <xf numFmtId="49" fontId="21" fillId="0" borderId="2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/>
    </xf>
    <xf numFmtId="4" fontId="4" fillId="0" borderId="3" xfId="0" applyNumberFormat="1" applyFont="1" applyFill="1" applyBorder="1" applyAlignment="1">
      <alignment horizontal="center" vertical="top"/>
    </xf>
    <xf numFmtId="4" fontId="3" fillId="5" borderId="1" xfId="0" applyNumberFormat="1" applyFont="1" applyFill="1" applyBorder="1" applyAlignment="1">
      <alignment horizontal="center" vertical="top" wrapText="1"/>
    </xf>
    <xf numFmtId="49" fontId="3" fillId="0" borderId="5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4" fontId="3" fillId="5" borderId="5" xfId="0" applyNumberFormat="1" applyFont="1" applyFill="1" applyBorder="1" applyAlignment="1">
      <alignment horizontal="center" vertical="top"/>
    </xf>
    <xf numFmtId="49" fontId="3" fillId="0" borderId="5" xfId="0" applyNumberFormat="1" applyFont="1" applyBorder="1" applyAlignment="1">
      <alignment horizontal="left" vertical="top" wrapText="1"/>
    </xf>
    <xf numFmtId="4" fontId="7" fillId="5" borderId="5" xfId="0" applyNumberFormat="1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left" vertical="top"/>
    </xf>
    <xf numFmtId="0" fontId="12" fillId="0" borderId="11" xfId="0" applyFont="1" applyBorder="1" applyAlignment="1">
      <alignment horizontal="left" vertical="top"/>
    </xf>
    <xf numFmtId="0" fontId="3" fillId="5" borderId="3" xfId="0" applyFont="1" applyFill="1" applyBorder="1" applyAlignment="1">
      <alignment vertical="top" wrapText="1"/>
    </xf>
    <xf numFmtId="0" fontId="10" fillId="0" borderId="7" xfId="0" applyFont="1" applyBorder="1" applyAlignment="1">
      <alignment vertical="top" wrapText="1"/>
    </xf>
    <xf numFmtId="14" fontId="10" fillId="0" borderId="7" xfId="0" applyNumberFormat="1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4" fontId="8" fillId="0" borderId="7" xfId="0" applyNumberFormat="1" applyFont="1" applyBorder="1" applyAlignment="1">
      <alignment horizontal="center" vertical="top" wrapText="1"/>
    </xf>
    <xf numFmtId="0" fontId="4" fillId="5" borderId="8" xfId="0" applyFont="1" applyFill="1" applyBorder="1" applyAlignment="1">
      <alignment vertical="top" wrapText="1"/>
    </xf>
    <xf numFmtId="4" fontId="0" fillId="6" borderId="0" xfId="0" applyNumberFormat="1" applyFill="1" applyBorder="1" applyAlignment="1">
      <alignment horizontal="left" vertical="top"/>
    </xf>
    <xf numFmtId="0" fontId="4" fillId="5" borderId="8" xfId="0" applyFont="1" applyFill="1" applyBorder="1"/>
    <xf numFmtId="4" fontId="4" fillId="5" borderId="8" xfId="0" applyNumberFormat="1" applyFont="1" applyFill="1" applyBorder="1"/>
    <xf numFmtId="49" fontId="3" fillId="5" borderId="8" xfId="0" applyNumberFormat="1" applyFont="1" applyFill="1" applyBorder="1" applyAlignment="1">
      <alignment horizontal="center" vertical="top" wrapText="1"/>
    </xf>
    <xf numFmtId="0" fontId="21" fillId="5" borderId="3" xfId="0" applyFont="1" applyFill="1" applyBorder="1" applyAlignment="1">
      <alignment horizontal="center" vertical="top"/>
    </xf>
    <xf numFmtId="0" fontId="3" fillId="5" borderId="2" xfId="0" applyFont="1" applyFill="1" applyBorder="1" applyAlignment="1">
      <alignment horizontal="center" vertical="top" wrapText="1"/>
    </xf>
    <xf numFmtId="0" fontId="3" fillId="5" borderId="6" xfId="0" applyFont="1" applyFill="1" applyBorder="1" applyAlignment="1">
      <alignment vertical="top" wrapText="1"/>
    </xf>
    <xf numFmtId="14" fontId="3" fillId="5" borderId="5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0" fontId="3" fillId="5" borderId="3" xfId="0" applyFont="1" applyFill="1" applyBorder="1" applyAlignment="1">
      <alignment horizontal="left" vertical="top" wrapText="1"/>
    </xf>
    <xf numFmtId="4" fontId="3" fillId="0" borderId="7" xfId="0" applyNumberFormat="1" applyFont="1" applyFill="1" applyBorder="1" applyAlignment="1">
      <alignment horizontal="center" vertical="top" wrapText="1"/>
    </xf>
    <xf numFmtId="14" fontId="3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vertical="top" wrapText="1"/>
    </xf>
    <xf numFmtId="14" fontId="10" fillId="5" borderId="2" xfId="0" applyNumberFormat="1" applyFont="1" applyFill="1" applyBorder="1" applyAlignment="1">
      <alignment vertical="top" wrapText="1"/>
    </xf>
    <xf numFmtId="0" fontId="10" fillId="5" borderId="3" xfId="0" applyFont="1" applyFill="1" applyBorder="1" applyAlignment="1">
      <alignment vertical="top" wrapText="1"/>
    </xf>
    <xf numFmtId="14" fontId="10" fillId="5" borderId="3" xfId="0" applyNumberFormat="1" applyFont="1" applyFill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164" fontId="9" fillId="0" borderId="0" xfId="1" applyFont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5" xfId="0" applyNumberFormat="1" applyFont="1" applyBorder="1" applyAlignment="1">
      <alignment horizontal="left" vertical="top" wrapText="1"/>
    </xf>
    <xf numFmtId="0" fontId="12" fillId="0" borderId="8" xfId="0" applyFont="1" applyBorder="1" applyAlignment="1">
      <alignment vertical="top"/>
    </xf>
    <xf numFmtId="0" fontId="12" fillId="0" borderId="2" xfId="0" applyFont="1" applyBorder="1" applyAlignment="1">
      <alignment vertical="top"/>
    </xf>
    <xf numFmtId="0" fontId="12" fillId="0" borderId="3" xfId="0" applyFont="1" applyBorder="1" applyAlignment="1">
      <alignment vertical="top"/>
    </xf>
    <xf numFmtId="0" fontId="0" fillId="0" borderId="8" xfId="0" applyBorder="1"/>
    <xf numFmtId="0" fontId="0" fillId="0" borderId="2" xfId="0" applyBorder="1"/>
    <xf numFmtId="0" fontId="12" fillId="0" borderId="8" xfId="0" applyFont="1" applyBorder="1" applyAlignment="1">
      <alignment horizontal="left" vertical="top"/>
    </xf>
    <xf numFmtId="0" fontId="12" fillId="0" borderId="2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9" fillId="0" borderId="2" xfId="0" applyFont="1" applyBorder="1" applyAlignment="1">
      <alignment vertical="top"/>
    </xf>
    <xf numFmtId="0" fontId="19" fillId="0" borderId="3" xfId="0" applyFont="1" applyBorder="1" applyAlignment="1">
      <alignment vertical="top"/>
    </xf>
    <xf numFmtId="4" fontId="19" fillId="0" borderId="2" xfId="0" applyNumberFormat="1" applyFont="1" applyBorder="1" applyAlignment="1">
      <alignment horizontal="left" vertical="top"/>
    </xf>
    <xf numFmtId="4" fontId="4" fillId="5" borderId="2" xfId="0" applyNumberFormat="1" applyFont="1" applyFill="1" applyBorder="1" applyAlignment="1">
      <alignment horizontal="center" vertical="top"/>
    </xf>
    <xf numFmtId="4" fontId="4" fillId="5" borderId="6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/>
    <xf numFmtId="0" fontId="21" fillId="0" borderId="6" xfId="0" applyFont="1" applyBorder="1" applyAlignment="1">
      <alignment horizontal="center" vertical="top" wrapText="1"/>
    </xf>
    <xf numFmtId="4" fontId="21" fillId="0" borderId="6" xfId="0" applyNumberFormat="1" applyFont="1" applyFill="1" applyBorder="1" applyAlignment="1">
      <alignment horizontal="center" vertical="top" wrapText="1"/>
    </xf>
    <xf numFmtId="4" fontId="21" fillId="0" borderId="6" xfId="0" applyNumberFormat="1" applyFont="1" applyBorder="1" applyAlignment="1">
      <alignment horizontal="center" vertical="top" wrapText="1"/>
    </xf>
    <xf numFmtId="4" fontId="19" fillId="0" borderId="0" xfId="0" applyNumberFormat="1" applyFont="1" applyAlignment="1">
      <alignment vertical="top"/>
    </xf>
    <xf numFmtId="0" fontId="19" fillId="0" borderId="0" xfId="0" applyFont="1" applyAlignment="1">
      <alignment horizontal="center" vertical="center"/>
    </xf>
    <xf numFmtId="4" fontId="12" fillId="0" borderId="0" xfId="0" applyNumberFormat="1" applyFont="1" applyAlignment="1">
      <alignment vertical="top"/>
    </xf>
    <xf numFmtId="49" fontId="3" fillId="5" borderId="7" xfId="0" applyNumberFormat="1" applyFont="1" applyFill="1" applyBorder="1" applyAlignment="1">
      <alignment horizontal="center" vertical="top" wrapText="1"/>
    </xf>
    <xf numFmtId="4" fontId="21" fillId="5" borderId="7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49" fontId="3" fillId="5" borderId="1" xfId="0" applyNumberFormat="1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21" fillId="5" borderId="6" xfId="0" applyFont="1" applyFill="1" applyBorder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9" fillId="5" borderId="0" xfId="0" applyFont="1" applyFill="1" applyBorder="1" applyAlignment="1">
      <alignment vertical="top" wrapText="1"/>
    </xf>
    <xf numFmtId="4" fontId="9" fillId="5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vertical="top" wrapText="1"/>
    </xf>
    <xf numFmtId="4" fontId="5" fillId="0" borderId="0" xfId="0" applyNumberFormat="1" applyFont="1" applyBorder="1" applyAlignment="1">
      <alignment horizontal="center" vertical="top"/>
    </xf>
    <xf numFmtId="0" fontId="9" fillId="0" borderId="0" xfId="0" applyFont="1" applyBorder="1" applyAlignment="1">
      <alignment vertical="top" wrapText="1"/>
    </xf>
    <xf numFmtId="4" fontId="9" fillId="0" borderId="0" xfId="0" applyNumberFormat="1" applyFont="1" applyBorder="1" applyAlignment="1">
      <alignment horizontal="center" vertical="top"/>
    </xf>
    <xf numFmtId="4" fontId="9" fillId="5" borderId="0" xfId="0" applyNumberFormat="1" applyFont="1" applyFill="1" applyBorder="1" applyAlignment="1">
      <alignment horizontal="right" vertical="top"/>
    </xf>
    <xf numFmtId="0" fontId="4" fillId="3" borderId="4" xfId="0" applyFont="1" applyFill="1" applyBorder="1" applyAlignment="1">
      <alignment vertical="center" wrapText="1"/>
    </xf>
    <xf numFmtId="4" fontId="4" fillId="3" borderId="16" xfId="0" applyNumberFormat="1" applyFont="1" applyFill="1" applyBorder="1" applyAlignment="1">
      <alignment horizontal="center" vertical="top"/>
    </xf>
    <xf numFmtId="4" fontId="4" fillId="3" borderId="12" xfId="0" applyNumberFormat="1" applyFont="1" applyFill="1" applyBorder="1" applyAlignment="1">
      <alignment horizontal="center" vertical="top"/>
    </xf>
    <xf numFmtId="0" fontId="4" fillId="2" borderId="16" xfId="0" applyFont="1" applyFill="1" applyBorder="1" applyAlignment="1">
      <alignment vertical="top" wrapText="1"/>
    </xf>
    <xf numFmtId="0" fontId="4" fillId="2" borderId="12" xfId="0" applyFont="1" applyFill="1" applyBorder="1" applyAlignment="1">
      <alignment vertical="top" wrapText="1"/>
    </xf>
    <xf numFmtId="0" fontId="5" fillId="0" borderId="9" xfId="0" applyFont="1" applyBorder="1" applyAlignment="1">
      <alignment horizontal="right" vertical="top"/>
    </xf>
    <xf numFmtId="4" fontId="9" fillId="0" borderId="0" xfId="0" applyNumberFormat="1" applyFont="1" applyBorder="1" applyAlignment="1">
      <alignment horizontal="right"/>
    </xf>
    <xf numFmtId="0" fontId="4" fillId="2" borderId="4" xfId="0" applyFont="1" applyFill="1" applyBorder="1" applyAlignment="1">
      <alignment vertical="center" wrapText="1"/>
    </xf>
    <xf numFmtId="164" fontId="3" fillId="0" borderId="4" xfId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3" borderId="4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3" borderId="16" xfId="0" applyFont="1" applyFill="1" applyBorder="1" applyAlignment="1">
      <alignment vertical="top" wrapText="1"/>
    </xf>
    <xf numFmtId="0" fontId="4" fillId="3" borderId="12" xfId="0" applyFont="1" applyFill="1" applyBorder="1" applyAlignment="1">
      <alignment vertical="top" wrapText="1"/>
    </xf>
    <xf numFmtId="164" fontId="9" fillId="0" borderId="0" xfId="1" applyFont="1" applyAlignment="1">
      <alignment horizontal="center"/>
    </xf>
    <xf numFmtId="164" fontId="9" fillId="0" borderId="10" xfId="1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3" borderId="18" xfId="0" applyFont="1" applyFill="1" applyBorder="1" applyAlignment="1">
      <alignment vertical="top" wrapText="1"/>
    </xf>
    <xf numFmtId="0" fontId="3" fillId="0" borderId="15" xfId="0" applyFont="1" applyBorder="1" applyAlignment="1">
      <alignment horizontal="center" vertical="top"/>
    </xf>
    <xf numFmtId="0" fontId="3" fillId="0" borderId="7" xfId="0" applyFont="1" applyBorder="1" applyAlignment="1">
      <alignment horizontal="center" vertical="top"/>
    </xf>
    <xf numFmtId="164" fontId="9" fillId="0" borderId="0" xfId="1" applyFont="1" applyBorder="1" applyAlignment="1">
      <alignment horizontal="center" vertical="top" wrapText="1"/>
    </xf>
    <xf numFmtId="0" fontId="4" fillId="2" borderId="18" xfId="0" applyFont="1" applyFill="1" applyBorder="1" applyAlignment="1">
      <alignment vertical="top" wrapText="1"/>
    </xf>
  </cellXfs>
  <cellStyles count="5">
    <cellStyle name="Excel Built-in Normal" xfId="4"/>
    <cellStyle name="Денежный" xfId="1" builtinId="4"/>
    <cellStyle name="Денежный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96"/>
  <sheetViews>
    <sheetView tabSelected="1" view="pageBreakPreview" topLeftCell="A367" zoomScaleNormal="100" zoomScaleSheetLayoutView="100" workbookViewId="0">
      <selection activeCell="G1" sqref="G1:K1"/>
    </sheetView>
  </sheetViews>
  <sheetFormatPr defaultRowHeight="12.75" x14ac:dyDescent="0.2"/>
  <cols>
    <col min="1" max="1" width="25" customWidth="1"/>
    <col min="2" max="2" width="14.140625" customWidth="1"/>
    <col min="3" max="3" width="12.42578125" customWidth="1"/>
    <col min="4" max="4" width="12.28515625" customWidth="1"/>
    <col min="5" max="5" width="15" customWidth="1"/>
    <col min="6" max="6" width="14" customWidth="1"/>
    <col min="7" max="7" width="15" customWidth="1"/>
    <col min="8" max="8" width="15.7109375" customWidth="1"/>
    <col min="9" max="9" width="15.42578125" customWidth="1"/>
    <col min="10" max="10" width="15" customWidth="1"/>
    <col min="11" max="11" width="15.140625" style="20" customWidth="1"/>
    <col min="12" max="12" width="16.5703125" customWidth="1"/>
    <col min="13" max="13" width="17.28515625" customWidth="1"/>
    <col min="14" max="14" width="16.7109375" customWidth="1"/>
    <col min="15" max="16" width="15.42578125" bestFit="1" customWidth="1"/>
    <col min="17" max="17" width="16.28515625" customWidth="1"/>
  </cols>
  <sheetData>
    <row r="1" spans="1:14" ht="50.25" customHeight="1" x14ac:dyDescent="0.2">
      <c r="G1" s="403" t="s">
        <v>420</v>
      </c>
      <c r="H1" s="403"/>
      <c r="I1" s="403"/>
      <c r="J1" s="403"/>
      <c r="K1" s="403"/>
    </row>
    <row r="2" spans="1:14" ht="51" customHeight="1" x14ac:dyDescent="0.2">
      <c r="G2" s="403" t="s">
        <v>284</v>
      </c>
      <c r="H2" s="403"/>
      <c r="I2" s="403"/>
      <c r="J2" s="403"/>
      <c r="K2" s="403"/>
    </row>
    <row r="3" spans="1:14" ht="15.75" x14ac:dyDescent="0.25">
      <c r="A3" s="426" t="s">
        <v>33</v>
      </c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1"/>
    </row>
    <row r="4" spans="1:14" ht="37.5" customHeight="1" thickBot="1" x14ac:dyDescent="0.25">
      <c r="A4" s="246"/>
      <c r="B4" s="427" t="s">
        <v>264</v>
      </c>
      <c r="C4" s="427"/>
      <c r="D4" s="427"/>
      <c r="E4" s="427"/>
      <c r="F4" s="427"/>
      <c r="G4" s="427"/>
      <c r="H4" s="427"/>
      <c r="I4" s="427"/>
      <c r="J4" s="246"/>
      <c r="K4" s="246"/>
      <c r="L4" s="1"/>
    </row>
    <row r="5" spans="1:14" ht="24.75" customHeight="1" thickBot="1" x14ac:dyDescent="0.25">
      <c r="A5" s="428" t="s">
        <v>53</v>
      </c>
      <c r="B5" s="420" t="s">
        <v>54</v>
      </c>
      <c r="C5" s="420" t="s">
        <v>28</v>
      </c>
      <c r="D5" s="420" t="s">
        <v>35</v>
      </c>
      <c r="E5" s="420" t="s">
        <v>34</v>
      </c>
      <c r="F5" s="420" t="s">
        <v>183</v>
      </c>
      <c r="G5" s="419" t="s">
        <v>184</v>
      </c>
      <c r="H5" s="419" t="s">
        <v>50</v>
      </c>
      <c r="I5" s="420" t="s">
        <v>32</v>
      </c>
      <c r="J5" s="420"/>
      <c r="K5" s="420"/>
      <c r="L5" s="2"/>
      <c r="M5" s="2"/>
      <c r="N5" s="2"/>
    </row>
    <row r="6" spans="1:14" ht="166.5" customHeight="1" thickBot="1" x14ac:dyDescent="0.25">
      <c r="A6" s="429"/>
      <c r="B6" s="420"/>
      <c r="C6" s="420"/>
      <c r="D6" s="420"/>
      <c r="E6" s="420"/>
      <c r="F6" s="420"/>
      <c r="G6" s="419"/>
      <c r="H6" s="419"/>
      <c r="I6" s="247" t="s">
        <v>26</v>
      </c>
      <c r="J6" s="247" t="s">
        <v>71</v>
      </c>
      <c r="K6" s="247" t="s">
        <v>149</v>
      </c>
      <c r="L6" s="54">
        <f>H139+H333+H394</f>
        <v>7677303844.9400005</v>
      </c>
      <c r="M6" s="94">
        <f>L6-L7</f>
        <v>0</v>
      </c>
      <c r="N6" s="55"/>
    </row>
    <row r="7" spans="1:14" ht="26.25" customHeight="1" thickBot="1" x14ac:dyDescent="0.25">
      <c r="A7" s="61" t="s">
        <v>41</v>
      </c>
      <c r="B7" s="62"/>
      <c r="C7" s="62"/>
      <c r="D7" s="62"/>
      <c r="E7" s="63"/>
      <c r="F7" s="63"/>
      <c r="G7" s="63"/>
      <c r="H7" s="57">
        <f>H8+H9+H10+H11</f>
        <v>7677303844.9399996</v>
      </c>
      <c r="I7" s="57">
        <f>SUM(I8:I11)</f>
        <v>6216621321.0599985</v>
      </c>
      <c r="J7" s="57">
        <f t="shared" ref="J7:K7" si="0">SUM(J8:J11)</f>
        <v>1219735373.23</v>
      </c>
      <c r="K7" s="57">
        <f t="shared" si="0"/>
        <v>240947150.65000001</v>
      </c>
      <c r="L7" s="56">
        <f>I7+J7+K7</f>
        <v>7677303844.9399986</v>
      </c>
      <c r="M7" s="2"/>
      <c r="N7" s="2"/>
    </row>
    <row r="8" spans="1:14" ht="22.5" customHeight="1" x14ac:dyDescent="0.2">
      <c r="A8" s="126" t="s">
        <v>39</v>
      </c>
      <c r="B8" s="127"/>
      <c r="C8" s="127"/>
      <c r="D8" s="127"/>
      <c r="E8" s="128"/>
      <c r="F8" s="128"/>
      <c r="G8" s="128"/>
      <c r="H8" s="29">
        <f>I8+J8+K8</f>
        <v>199640918.91</v>
      </c>
      <c r="I8" s="29">
        <f>I54+I61+I63+I70+I284+I288+I290+I292+I294+I296+I300+I305+I310+I311+I315+I316+I323+I327+I331+I58+I299+I330+I326+I303+I285+I306+I102+I104+I138+I53+I98+I100+I106+I134+I137+I69+I67+I324+I56+I286+I317+I65+I318</f>
        <v>179418004</v>
      </c>
      <c r="J8" s="29">
        <f>J54+J61+J63+J70+J284+J288+J290+J292+J294+J296+J300+J305+J310+J311+J315+J316+J323+J327+J331+J58+J299+J330+J326+J303+J285+J306+J102+J104+J138+J53+J98+J100+J106+J134+J137+J69+J67+J324+J56+J286+J317+J65+J318</f>
        <v>15751144.389999999</v>
      </c>
      <c r="K8" s="29">
        <f>K54+K61+K63+K70+K284+K288+K290+K292+K294+K296+K300+K305+K310+K311+K315+K316+K323+K327+K331+K58+K299+K330+K326+K303+K285+K306+K102+K104+K138+K53+K98+K100+K106+K134+K137+K69+K67+K324+K56+K286+K317+K65+K318</f>
        <v>4471770.5199999996</v>
      </c>
      <c r="L8" s="84"/>
      <c r="M8" s="2" t="s">
        <v>27</v>
      </c>
      <c r="N8" s="2"/>
    </row>
    <row r="9" spans="1:14" ht="21" customHeight="1" x14ac:dyDescent="0.2">
      <c r="A9" s="183" t="s">
        <v>40</v>
      </c>
      <c r="B9" s="130"/>
      <c r="C9" s="130"/>
      <c r="D9" s="130"/>
      <c r="E9" s="131"/>
      <c r="F9" s="131"/>
      <c r="G9" s="131"/>
      <c r="H9" s="8">
        <f>I9+J9+K9</f>
        <v>5769688016.8199997</v>
      </c>
      <c r="I9" s="8">
        <f>I55+I62+I64+I71+I68+I289+I291+I293+I295+I297+I301+I308+I312+I313+I319+I320+I325+I328+I332+I391+I392+I59+I307+I107+I135+I99+I101+I103+I105+I287+I57+I304+I321+I66+I322</f>
        <v>4511661007.8499994</v>
      </c>
      <c r="J9" s="8">
        <f>J55+J62+J64+J71+J68+J289+J291+J293+J295+J297+J301+J308+J312+J313+J319+J320+J325+J328+J332+J391+J392+J59+J307+J107+J135+J99+J101+J103+J105+J287+J57+J304+J321+J66+J322</f>
        <v>1114128428.8399999</v>
      </c>
      <c r="K9" s="8">
        <f>K55+K62+K64+K71+K68+K289+K291+K293+K295+K297+K301+K308+K312+K313+K319+K320+K325+K328+K332+K391+K392+K59+K307+K107+K135+K99+K101+K103+K105+K287+K57+K304+K321+K66+K322</f>
        <v>143898580.13</v>
      </c>
    </row>
    <row r="10" spans="1:14" ht="21" customHeight="1" x14ac:dyDescent="0.2">
      <c r="A10" s="356" t="s">
        <v>56</v>
      </c>
      <c r="B10" s="357"/>
      <c r="C10" s="357"/>
      <c r="D10" s="357"/>
      <c r="E10" s="358"/>
      <c r="F10" s="358"/>
      <c r="G10" s="358"/>
      <c r="H10" s="14">
        <f>I10+J10+K10</f>
        <v>1548676746.5999999</v>
      </c>
      <c r="I10" s="14">
        <f>I298+I302+I309+I314+I329+I393+I60</f>
        <v>1366244146.5999999</v>
      </c>
      <c r="J10" s="14">
        <f>J298+J302+J309+J314+J329+J393+J60</f>
        <v>89855800</v>
      </c>
      <c r="K10" s="14">
        <f>K298+K302+K309+K314+K329+K393+K60</f>
        <v>92576800</v>
      </c>
      <c r="L10" t="s">
        <v>27</v>
      </c>
      <c r="M10" s="83"/>
    </row>
    <row r="11" spans="1:14" ht="29.25" customHeight="1" thickBot="1" x14ac:dyDescent="0.25">
      <c r="A11" s="359" t="s">
        <v>332</v>
      </c>
      <c r="B11" s="132"/>
      <c r="C11" s="132"/>
      <c r="D11" s="132"/>
      <c r="E11" s="133"/>
      <c r="F11" s="133"/>
      <c r="G11" s="133"/>
      <c r="H11" s="13">
        <f>I11+J11+K11</f>
        <v>159298162.60999998</v>
      </c>
      <c r="I11" s="13">
        <f>I136</f>
        <v>159298162.60999998</v>
      </c>
      <c r="J11" s="13">
        <f t="shared" ref="J11:K11" si="1">J136</f>
        <v>0</v>
      </c>
      <c r="K11" s="13">
        <f t="shared" si="1"/>
        <v>0</v>
      </c>
      <c r="M11" s="83"/>
    </row>
    <row r="12" spans="1:14" ht="27.75" customHeight="1" thickBot="1" x14ac:dyDescent="0.25">
      <c r="A12" s="26" t="s">
        <v>240</v>
      </c>
      <c r="B12" s="4"/>
      <c r="C12" s="4"/>
      <c r="D12" s="4"/>
      <c r="E12" s="7"/>
      <c r="F12" s="7"/>
      <c r="G12" s="7"/>
      <c r="H12" s="113">
        <f>I12+J12+K12</f>
        <v>1536450031.6200001</v>
      </c>
      <c r="I12" s="113">
        <f>SUM(I13:I15)</f>
        <v>1536450031.6200001</v>
      </c>
      <c r="J12" s="95"/>
      <c r="K12" s="95"/>
      <c r="L12" s="37"/>
      <c r="M12" t="s">
        <v>27</v>
      </c>
    </row>
    <row r="13" spans="1:14" ht="24" customHeight="1" x14ac:dyDescent="0.2">
      <c r="A13" s="126" t="s">
        <v>39</v>
      </c>
      <c r="B13" s="127"/>
      <c r="C13" s="127"/>
      <c r="D13" s="127"/>
      <c r="E13" s="128"/>
      <c r="F13" s="128"/>
      <c r="G13" s="128"/>
      <c r="H13" s="134">
        <f>I13</f>
        <v>25328366.329999994</v>
      </c>
      <c r="I13" s="134">
        <f>I27+I34+I78+I83+I88+I112+I182+I205+I214+I217+I227+I236+I245+I257+I263+I272+I281</f>
        <v>25328366.329999994</v>
      </c>
      <c r="J13" s="135"/>
      <c r="K13" s="135"/>
    </row>
    <row r="14" spans="1:14" ht="21" customHeight="1" x14ac:dyDescent="0.2">
      <c r="A14" s="129" t="s">
        <v>40</v>
      </c>
      <c r="B14" s="130"/>
      <c r="C14" s="130"/>
      <c r="D14" s="130"/>
      <c r="E14" s="131"/>
      <c r="F14" s="131"/>
      <c r="G14" s="131"/>
      <c r="H14" s="89">
        <f>I14</f>
        <v>1123966344.7500002</v>
      </c>
      <c r="I14" s="89">
        <f>I28+I79+I84+I93+I206+I228+I237+I246+I258+I264+I273+I282</f>
        <v>1123966344.7500002</v>
      </c>
      <c r="J14" s="136"/>
      <c r="K14" s="136"/>
    </row>
    <row r="15" spans="1:14" ht="21.75" customHeight="1" thickBot="1" x14ac:dyDescent="0.25">
      <c r="A15" s="129" t="s">
        <v>56</v>
      </c>
      <c r="B15" s="130"/>
      <c r="C15" s="130"/>
      <c r="D15" s="130"/>
      <c r="E15" s="131"/>
      <c r="F15" s="131"/>
      <c r="G15" s="131"/>
      <c r="H15" s="89">
        <f>I15</f>
        <v>387155320.53999996</v>
      </c>
      <c r="I15" s="89">
        <f>I29+I207+I238+I247+I274</f>
        <v>387155320.53999996</v>
      </c>
      <c r="J15" s="136"/>
      <c r="K15" s="136"/>
    </row>
    <row r="16" spans="1:14" ht="25.5" customHeight="1" thickBot="1" x14ac:dyDescent="0.25">
      <c r="A16" s="421" t="s">
        <v>36</v>
      </c>
      <c r="B16" s="421"/>
      <c r="C16" s="421"/>
      <c r="D16" s="421"/>
      <c r="E16" s="421"/>
      <c r="F16" s="421"/>
      <c r="G16" s="421"/>
      <c r="H16" s="421"/>
      <c r="I16" s="421"/>
      <c r="J16" s="421"/>
      <c r="K16" s="421"/>
    </row>
    <row r="17" spans="1:14" ht="24.75" customHeight="1" thickBot="1" x14ac:dyDescent="0.25">
      <c r="A17" s="422" t="s">
        <v>37</v>
      </c>
      <c r="B17" s="422"/>
      <c r="C17" s="422"/>
      <c r="D17" s="422"/>
      <c r="E17" s="422"/>
      <c r="F17" s="422"/>
      <c r="G17" s="422"/>
      <c r="H17" s="422"/>
      <c r="I17" s="422"/>
      <c r="J17" s="422"/>
      <c r="K17" s="422"/>
    </row>
    <row r="18" spans="1:14" ht="57" customHeight="1" thickBot="1" x14ac:dyDescent="0.25">
      <c r="A18" s="10" t="s">
        <v>31</v>
      </c>
      <c r="B18" s="250"/>
      <c r="C18" s="251"/>
      <c r="D18" s="251"/>
      <c r="E18" s="252"/>
      <c r="F18" s="252"/>
      <c r="G18" s="252"/>
      <c r="H18" s="57">
        <f>K18+J18+I18</f>
        <v>1064112483.1800001</v>
      </c>
      <c r="I18" s="57">
        <f>I19+I30+I35+I38</f>
        <v>1013607432.6700001</v>
      </c>
      <c r="J18" s="57">
        <f t="shared" ref="J18:K18" si="2">J19+J30+J35+J38</f>
        <v>0</v>
      </c>
      <c r="K18" s="57">
        <f t="shared" si="2"/>
        <v>50505050.509999998</v>
      </c>
      <c r="L18" s="67">
        <f>H19+H30+H35+H38</f>
        <v>1064112483.1799999</v>
      </c>
      <c r="M18" s="83"/>
      <c r="N18" s="83">
        <f>L18-H18</f>
        <v>0</v>
      </c>
    </row>
    <row r="19" spans="1:14" ht="51" x14ac:dyDescent="0.2">
      <c r="A19" s="109" t="s">
        <v>0</v>
      </c>
      <c r="B19" s="30" t="s">
        <v>43</v>
      </c>
      <c r="C19" s="71" t="s">
        <v>61</v>
      </c>
      <c r="D19" s="31" t="s">
        <v>26</v>
      </c>
      <c r="E19" s="175">
        <v>973133257.24000001</v>
      </c>
      <c r="F19" s="179">
        <v>564645117.25</v>
      </c>
      <c r="G19" s="175">
        <f>E19-F19</f>
        <v>408488139.99000001</v>
      </c>
      <c r="H19" s="29">
        <f>I19+J19+K19</f>
        <v>230248832.43999997</v>
      </c>
      <c r="I19" s="29">
        <f>SUM(I20:I26)</f>
        <v>230248832.43999997</v>
      </c>
      <c r="J19" s="29">
        <f>SUM(J20:J23)</f>
        <v>0</v>
      </c>
      <c r="K19" s="29">
        <f>SUM(K20:K23)</f>
        <v>0</v>
      </c>
      <c r="L19" s="43"/>
      <c r="M19" s="42"/>
      <c r="N19" s="66"/>
    </row>
    <row r="20" spans="1:14" ht="25.5" x14ac:dyDescent="0.2">
      <c r="A20" s="141" t="s">
        <v>185</v>
      </c>
      <c r="B20" s="147" t="s">
        <v>130</v>
      </c>
      <c r="C20" s="41"/>
      <c r="D20" s="41"/>
      <c r="E20" s="173"/>
      <c r="F20" s="173"/>
      <c r="G20" s="173"/>
      <c r="H20" s="8">
        <f>I20+J20+K20</f>
        <v>845324.08000000007</v>
      </c>
      <c r="I20" s="8">
        <f>534497.11-200482.15+445078.84+207930.58-44.6-141655.7</f>
        <v>845324.08000000007</v>
      </c>
      <c r="J20" s="8"/>
      <c r="K20" s="8"/>
      <c r="L20" s="43"/>
      <c r="M20" s="42"/>
      <c r="N20" s="66"/>
    </row>
    <row r="21" spans="1:14" ht="38.25" x14ac:dyDescent="0.2">
      <c r="A21" s="141" t="s">
        <v>265</v>
      </c>
      <c r="B21" s="147" t="s">
        <v>269</v>
      </c>
      <c r="C21" s="41"/>
      <c r="D21" s="41"/>
      <c r="E21" s="173"/>
      <c r="F21" s="173"/>
      <c r="G21" s="173"/>
      <c r="H21" s="8">
        <f>I21+J21+K21</f>
        <v>1123193.8900000001</v>
      </c>
      <c r="I21" s="8">
        <f>1123149.29+44.6</f>
        <v>1123193.8900000001</v>
      </c>
      <c r="J21" s="8"/>
      <c r="K21" s="8"/>
      <c r="L21" s="43"/>
      <c r="M21" s="42"/>
      <c r="N21" s="66"/>
    </row>
    <row r="22" spans="1:14" ht="38.25" x14ac:dyDescent="0.2">
      <c r="A22" s="141" t="s">
        <v>265</v>
      </c>
      <c r="B22" s="147" t="s">
        <v>368</v>
      </c>
      <c r="C22" s="41"/>
      <c r="D22" s="41"/>
      <c r="E22" s="173"/>
      <c r="F22" s="173"/>
      <c r="G22" s="173"/>
      <c r="H22" s="8">
        <f>I22+J22+K22</f>
        <v>333970.36</v>
      </c>
      <c r="I22" s="8">
        <v>333970.36</v>
      </c>
      <c r="J22" s="8"/>
      <c r="K22" s="8"/>
      <c r="L22" s="43"/>
      <c r="M22" s="42"/>
      <c r="N22" s="66"/>
    </row>
    <row r="23" spans="1:14" ht="25.5" x14ac:dyDescent="0.2">
      <c r="A23" s="141" t="s">
        <v>228</v>
      </c>
      <c r="B23" s="147" t="s">
        <v>268</v>
      </c>
      <c r="C23" s="41"/>
      <c r="D23" s="41"/>
      <c r="E23" s="173"/>
      <c r="F23" s="173"/>
      <c r="G23" s="173"/>
      <c r="H23" s="8">
        <f>I23+J23+K23</f>
        <v>83687083.779999986</v>
      </c>
      <c r="I23" s="8">
        <f>52915213.73-19847732.58+44062805.17-4415.12+20585127.28-14023914.7</f>
        <v>83687083.779999986</v>
      </c>
      <c r="J23" s="8"/>
      <c r="K23" s="8"/>
      <c r="L23" s="43"/>
      <c r="M23" s="42"/>
      <c r="N23" s="66"/>
    </row>
    <row r="24" spans="1:14" ht="38.25" x14ac:dyDescent="0.2">
      <c r="A24" s="141" t="s">
        <v>266</v>
      </c>
      <c r="B24" s="147" t="s">
        <v>270</v>
      </c>
      <c r="C24" s="41"/>
      <c r="D24" s="41"/>
      <c r="E24" s="173"/>
      <c r="F24" s="173"/>
      <c r="G24" s="173"/>
      <c r="H24" s="8">
        <f t="shared" ref="H24:H26" si="3">I24+J24+K24</f>
        <v>19852147.699999999</v>
      </c>
      <c r="I24" s="8">
        <f>19847732.58+4415.12</f>
        <v>19852147.699999999</v>
      </c>
      <c r="J24" s="8"/>
      <c r="K24" s="8"/>
      <c r="L24" s="43"/>
      <c r="M24" s="42"/>
      <c r="N24" s="66"/>
    </row>
    <row r="25" spans="1:14" ht="38.25" x14ac:dyDescent="0.2">
      <c r="A25" s="141" t="s">
        <v>266</v>
      </c>
      <c r="B25" s="147" t="s">
        <v>369</v>
      </c>
      <c r="C25" s="41"/>
      <c r="D25" s="41"/>
      <c r="E25" s="173"/>
      <c r="F25" s="173"/>
      <c r="G25" s="173"/>
      <c r="H25" s="8">
        <f t="shared" si="3"/>
        <v>33063066.030000001</v>
      </c>
      <c r="I25" s="8">
        <v>33063066.030000001</v>
      </c>
      <c r="J25" s="8"/>
      <c r="K25" s="8"/>
      <c r="L25" s="43"/>
      <c r="M25" s="42"/>
      <c r="N25" s="66"/>
    </row>
    <row r="26" spans="1:14" ht="38.25" x14ac:dyDescent="0.2">
      <c r="A26" s="141" t="s">
        <v>267</v>
      </c>
      <c r="B26" s="147" t="s">
        <v>271</v>
      </c>
      <c r="C26" s="41"/>
      <c r="D26" s="41"/>
      <c r="E26" s="173"/>
      <c r="F26" s="173"/>
      <c r="G26" s="173"/>
      <c r="H26" s="8">
        <f t="shared" si="3"/>
        <v>91344046.599999994</v>
      </c>
      <c r="I26" s="8">
        <v>91344046.599999994</v>
      </c>
      <c r="J26" s="8"/>
      <c r="K26" s="8"/>
      <c r="L26" s="43"/>
      <c r="M26" s="42"/>
      <c r="N26" s="66"/>
    </row>
    <row r="27" spans="1:14" ht="38.25" x14ac:dyDescent="0.2">
      <c r="A27" s="9" t="s">
        <v>62</v>
      </c>
      <c r="B27" s="5"/>
      <c r="C27" s="41"/>
      <c r="D27" s="41"/>
      <c r="E27" s="173"/>
      <c r="F27" s="173"/>
      <c r="G27" s="173"/>
      <c r="H27" s="89">
        <f>K27+J27+I27</f>
        <v>1728731.82</v>
      </c>
      <c r="I27" s="296">
        <v>1728731.82</v>
      </c>
      <c r="J27" s="8"/>
      <c r="K27" s="8"/>
      <c r="L27" s="43"/>
      <c r="M27" s="42"/>
      <c r="N27" s="66"/>
    </row>
    <row r="28" spans="1:14" ht="38.25" x14ac:dyDescent="0.2">
      <c r="A28" s="9" t="s">
        <v>79</v>
      </c>
      <c r="B28" s="5"/>
      <c r="C28" s="41"/>
      <c r="D28" s="41"/>
      <c r="E28" s="173"/>
      <c r="F28" s="173"/>
      <c r="G28" s="173"/>
      <c r="H28" s="89">
        <f>K28+J28+I28</f>
        <v>35257639.310000002</v>
      </c>
      <c r="I28" s="89">
        <v>35257639.310000002</v>
      </c>
      <c r="J28" s="8"/>
      <c r="K28" s="8"/>
      <c r="L28" s="43"/>
      <c r="M28" s="42"/>
      <c r="N28" s="66"/>
    </row>
    <row r="29" spans="1:14" ht="39" thickBot="1" x14ac:dyDescent="0.25">
      <c r="A29" s="15" t="s">
        <v>80</v>
      </c>
      <c r="B29" s="6"/>
      <c r="C29" s="171"/>
      <c r="D29" s="171"/>
      <c r="E29" s="174"/>
      <c r="F29" s="174"/>
      <c r="G29" s="174"/>
      <c r="H29" s="73">
        <f>K29+J29+I29</f>
        <v>109854761.38</v>
      </c>
      <c r="I29" s="73">
        <v>109854761.38</v>
      </c>
      <c r="J29" s="13"/>
      <c r="K29" s="13"/>
      <c r="L29" s="43"/>
      <c r="M29" s="42"/>
      <c r="N29" s="66"/>
    </row>
    <row r="30" spans="1:14" ht="82.5" customHeight="1" x14ac:dyDescent="0.2">
      <c r="A30" s="75" t="s">
        <v>14</v>
      </c>
      <c r="B30" s="30" t="s">
        <v>43</v>
      </c>
      <c r="C30" s="71" t="s">
        <v>200</v>
      </c>
      <c r="D30" s="71" t="s">
        <v>190</v>
      </c>
      <c r="E30" s="175">
        <v>2135313320</v>
      </c>
      <c r="F30" s="179">
        <v>5509465.1900000004</v>
      </c>
      <c r="G30" s="175">
        <f>E30-F30</f>
        <v>2129803854.8099999</v>
      </c>
      <c r="H30" s="29">
        <f t="shared" ref="H30:H34" si="4">I30+J30+K30</f>
        <v>50613233.75</v>
      </c>
      <c r="I30" s="29">
        <f>SUM(I31:I33)</f>
        <v>108183.24</v>
      </c>
      <c r="J30" s="29">
        <f t="shared" ref="J30:K30" si="5">SUM(J31:J33)</f>
        <v>0</v>
      </c>
      <c r="K30" s="29">
        <f t="shared" si="5"/>
        <v>50505050.509999998</v>
      </c>
      <c r="L30" s="43"/>
      <c r="M30" s="42"/>
      <c r="N30" s="66"/>
    </row>
    <row r="31" spans="1:14" ht="25.5" x14ac:dyDescent="0.2">
      <c r="A31" s="141" t="s">
        <v>308</v>
      </c>
      <c r="B31" s="147" t="s">
        <v>309</v>
      </c>
      <c r="C31" s="121"/>
      <c r="D31" s="121"/>
      <c r="E31" s="146"/>
      <c r="F31" s="337"/>
      <c r="G31" s="146"/>
      <c r="H31" s="8">
        <f t="shared" si="4"/>
        <v>108183.24</v>
      </c>
      <c r="I31" s="292">
        <v>108183.24</v>
      </c>
      <c r="J31" s="292"/>
      <c r="K31" s="292"/>
      <c r="L31" s="43"/>
      <c r="M31" s="42"/>
      <c r="N31" s="66"/>
    </row>
    <row r="32" spans="1:14" ht="25.5" x14ac:dyDescent="0.2">
      <c r="A32" s="80" t="s">
        <v>150</v>
      </c>
      <c r="B32" s="76" t="s">
        <v>147</v>
      </c>
      <c r="C32" s="92"/>
      <c r="D32" s="92"/>
      <c r="E32" s="192"/>
      <c r="F32" s="173"/>
      <c r="G32" s="192"/>
      <c r="H32" s="8">
        <f t="shared" si="4"/>
        <v>505050.51</v>
      </c>
      <c r="I32" s="8"/>
      <c r="J32" s="8"/>
      <c r="K32" s="8">
        <v>505050.51</v>
      </c>
      <c r="L32" s="43"/>
      <c r="M32" s="42"/>
      <c r="N32" s="66"/>
    </row>
    <row r="33" spans="1:14" ht="25.5" x14ac:dyDescent="0.2">
      <c r="A33" s="271" t="s">
        <v>151</v>
      </c>
      <c r="B33" s="76" t="s">
        <v>148</v>
      </c>
      <c r="C33" s="214"/>
      <c r="D33" s="214"/>
      <c r="E33" s="225"/>
      <c r="F33" s="195"/>
      <c r="G33" s="225"/>
      <c r="H33" s="8">
        <f t="shared" si="4"/>
        <v>50000000</v>
      </c>
      <c r="I33" s="14"/>
      <c r="J33" s="14"/>
      <c r="K33" s="14">
        <v>50000000</v>
      </c>
      <c r="L33" s="43"/>
      <c r="M33" s="42"/>
      <c r="N33" s="66"/>
    </row>
    <row r="34" spans="1:14" ht="39" thickBot="1" x14ac:dyDescent="0.25">
      <c r="A34" s="15" t="s">
        <v>62</v>
      </c>
      <c r="B34" s="77"/>
      <c r="C34" s="106"/>
      <c r="D34" s="106"/>
      <c r="E34" s="99"/>
      <c r="F34" s="70"/>
      <c r="G34" s="99"/>
      <c r="H34" s="73">
        <f t="shared" si="4"/>
        <v>923984.25</v>
      </c>
      <c r="I34" s="293">
        <v>923984.25</v>
      </c>
      <c r="J34" s="256"/>
      <c r="K34" s="256"/>
      <c r="L34" s="43"/>
      <c r="M34" s="42"/>
      <c r="N34" s="66"/>
    </row>
    <row r="35" spans="1:14" ht="56.25" customHeight="1" x14ac:dyDescent="0.2">
      <c r="A35" s="208" t="s">
        <v>143</v>
      </c>
      <c r="B35" s="203" t="s">
        <v>43</v>
      </c>
      <c r="C35" s="121" t="s">
        <v>134</v>
      </c>
      <c r="D35" s="121" t="s">
        <v>71</v>
      </c>
      <c r="E35" s="119">
        <v>187356447.83000001</v>
      </c>
      <c r="F35" s="78">
        <v>2105263.16</v>
      </c>
      <c r="G35" s="119">
        <f>E35-F35</f>
        <v>185251184.67000002</v>
      </c>
      <c r="H35" s="68">
        <f t="shared" ref="H35:H43" si="6">I35+J35+K35</f>
        <v>185251184.66999999</v>
      </c>
      <c r="I35" s="78">
        <f>SUM(I36:I37)</f>
        <v>185251184.66999999</v>
      </c>
      <c r="J35" s="78">
        <f>SUM(J36:J37)</f>
        <v>0</v>
      </c>
      <c r="K35" s="78">
        <f>SUM(K36:K37)</f>
        <v>0</v>
      </c>
      <c r="L35" s="43"/>
      <c r="M35" s="42"/>
      <c r="N35" s="66"/>
    </row>
    <row r="36" spans="1:14" ht="26.25" customHeight="1" x14ac:dyDescent="0.2">
      <c r="A36" s="141" t="s">
        <v>145</v>
      </c>
      <c r="B36" s="147" t="s">
        <v>137</v>
      </c>
      <c r="C36" s="260"/>
      <c r="D36" s="260"/>
      <c r="E36" s="262"/>
      <c r="F36" s="263"/>
      <c r="G36" s="262"/>
      <c r="H36" s="69">
        <f t="shared" si="6"/>
        <v>1852511.85</v>
      </c>
      <c r="I36" s="69">
        <f>821052.63+1031459.22</f>
        <v>1852511.85</v>
      </c>
      <c r="J36" s="69">
        <f>1031459.22-1031459.22</f>
        <v>0</v>
      </c>
      <c r="K36" s="69"/>
      <c r="L36" s="43"/>
      <c r="M36" s="43"/>
      <c r="N36" s="66"/>
    </row>
    <row r="37" spans="1:14" ht="26.25" customHeight="1" thickBot="1" x14ac:dyDescent="0.25">
      <c r="A37" s="168" t="s">
        <v>146</v>
      </c>
      <c r="B37" s="232" t="s">
        <v>141</v>
      </c>
      <c r="C37" s="264"/>
      <c r="D37" s="264"/>
      <c r="E37" s="156"/>
      <c r="F37" s="265"/>
      <c r="G37" s="156"/>
      <c r="H37" s="85">
        <f t="shared" si="6"/>
        <v>183398672.81999999</v>
      </c>
      <c r="I37" s="85">
        <f>81284210.53+102114462.29</f>
        <v>183398672.81999999</v>
      </c>
      <c r="J37" s="85">
        <f>102114462.29-102114462.29</f>
        <v>0</v>
      </c>
      <c r="K37" s="85"/>
      <c r="L37" s="43"/>
      <c r="M37" s="43"/>
      <c r="N37" s="66"/>
    </row>
    <row r="38" spans="1:14" ht="66.75" customHeight="1" x14ac:dyDescent="0.2">
      <c r="A38" s="400" t="s">
        <v>390</v>
      </c>
      <c r="B38" s="399" t="s">
        <v>43</v>
      </c>
      <c r="C38" s="321" t="s">
        <v>391</v>
      </c>
      <c r="D38" s="321" t="s">
        <v>71</v>
      </c>
      <c r="E38" s="401">
        <v>597999232.32000005</v>
      </c>
      <c r="F38" s="398">
        <v>0</v>
      </c>
      <c r="G38" s="401">
        <f>E38-F38</f>
        <v>597999232.32000005</v>
      </c>
      <c r="H38" s="68">
        <f t="shared" ref="H38:H40" si="7">I38+J38+K38</f>
        <v>597999232.32000005</v>
      </c>
      <c r="I38" s="78">
        <f>SUM(I39:I40)</f>
        <v>597999232.32000005</v>
      </c>
      <c r="J38" s="78">
        <f>SUM(J39:J40)</f>
        <v>0</v>
      </c>
      <c r="K38" s="78">
        <f>SUM(K39:K40)</f>
        <v>0</v>
      </c>
      <c r="L38" s="43"/>
      <c r="M38" s="43"/>
      <c r="N38" s="66"/>
    </row>
    <row r="39" spans="1:14" ht="26.25" customHeight="1" x14ac:dyDescent="0.2">
      <c r="A39" s="141" t="s">
        <v>392</v>
      </c>
      <c r="B39" s="147" t="s">
        <v>393</v>
      </c>
      <c r="C39" s="260"/>
      <c r="D39" s="260"/>
      <c r="E39" s="262"/>
      <c r="F39" s="263"/>
      <c r="G39" s="262"/>
      <c r="H39" s="69">
        <f t="shared" si="7"/>
        <v>5979992.3200000003</v>
      </c>
      <c r="I39" s="69">
        <v>5979992.3200000003</v>
      </c>
      <c r="J39" s="69">
        <f>1031459.22-1031459.22</f>
        <v>0</v>
      </c>
      <c r="K39" s="69"/>
      <c r="L39" s="43" t="s">
        <v>394</v>
      </c>
      <c r="M39" s="43"/>
      <c r="N39" s="66"/>
    </row>
    <row r="40" spans="1:14" ht="26.25" customHeight="1" thickBot="1" x14ac:dyDescent="0.25">
      <c r="A40" s="168" t="s">
        <v>395</v>
      </c>
      <c r="B40" s="232" t="s">
        <v>397</v>
      </c>
      <c r="C40" s="264"/>
      <c r="D40" s="264"/>
      <c r="E40" s="156"/>
      <c r="F40" s="265"/>
      <c r="G40" s="156"/>
      <c r="H40" s="85">
        <f t="shared" si="7"/>
        <v>592019240</v>
      </c>
      <c r="I40" s="85">
        <v>592019240</v>
      </c>
      <c r="J40" s="85">
        <f>102114462.29-102114462.29</f>
        <v>0</v>
      </c>
      <c r="K40" s="85"/>
      <c r="L40" s="43" t="s">
        <v>396</v>
      </c>
      <c r="M40" s="43"/>
      <c r="N40" s="66"/>
    </row>
    <row r="41" spans="1:14" ht="39" thickBot="1" x14ac:dyDescent="0.25">
      <c r="A41" s="10" t="s">
        <v>29</v>
      </c>
      <c r="B41" s="157"/>
      <c r="C41" s="158"/>
      <c r="D41" s="158"/>
      <c r="E41" s="137"/>
      <c r="F41" s="138"/>
      <c r="G41" s="137"/>
      <c r="H41" s="298">
        <f t="shared" si="6"/>
        <v>1543936463.1600001</v>
      </c>
      <c r="I41" s="115">
        <f t="shared" ref="I41:K41" si="8">I42</f>
        <v>1543936463.1600001</v>
      </c>
      <c r="J41" s="115">
        <f t="shared" si="8"/>
        <v>0</v>
      </c>
      <c r="K41" s="115">
        <f t="shared" si="8"/>
        <v>0</v>
      </c>
      <c r="L41" s="43"/>
      <c r="M41" s="42"/>
      <c r="N41" s="66"/>
    </row>
    <row r="42" spans="1:14" ht="27.75" thickBot="1" x14ac:dyDescent="0.25">
      <c r="A42" s="287" t="s">
        <v>337</v>
      </c>
      <c r="B42" s="269"/>
      <c r="C42" s="158"/>
      <c r="D42" s="270"/>
      <c r="E42" s="137"/>
      <c r="F42" s="290"/>
      <c r="G42" s="290"/>
      <c r="H42" s="299">
        <f t="shared" si="6"/>
        <v>1543936463.1600001</v>
      </c>
      <c r="I42" s="299">
        <f>I43+I46</f>
        <v>1543936463.1600001</v>
      </c>
      <c r="J42" s="299">
        <f t="shared" ref="J42:K42" si="9">J43+J46</f>
        <v>0</v>
      </c>
      <c r="K42" s="299">
        <f t="shared" si="9"/>
        <v>0</v>
      </c>
      <c r="L42" s="43"/>
      <c r="M42" s="42"/>
      <c r="N42" s="66"/>
    </row>
    <row r="43" spans="1:14" ht="58.5" customHeight="1" x14ac:dyDescent="0.2">
      <c r="A43" s="208" t="s">
        <v>186</v>
      </c>
      <c r="B43" s="203" t="s">
        <v>43</v>
      </c>
      <c r="C43" s="312" t="s">
        <v>199</v>
      </c>
      <c r="D43" s="236" t="s">
        <v>26</v>
      </c>
      <c r="E43" s="146">
        <v>1561594340</v>
      </c>
      <c r="F43" s="311">
        <v>0</v>
      </c>
      <c r="G43" s="146">
        <f>E43-F43</f>
        <v>1561594340</v>
      </c>
      <c r="H43" s="68">
        <f t="shared" si="6"/>
        <v>1540583463.1600001</v>
      </c>
      <c r="I43" s="87">
        <f>SUM(I44:I45)</f>
        <v>1540583463.1600001</v>
      </c>
      <c r="J43" s="87">
        <f>SUM(J45)</f>
        <v>0</v>
      </c>
      <c r="K43" s="87">
        <f>SUM(K45)</f>
        <v>0</v>
      </c>
      <c r="L43" s="43"/>
      <c r="M43" s="42"/>
      <c r="N43" s="66"/>
    </row>
    <row r="44" spans="1:14" ht="25.5" x14ac:dyDescent="0.2">
      <c r="A44" s="141" t="s">
        <v>232</v>
      </c>
      <c r="B44" s="76" t="s">
        <v>195</v>
      </c>
      <c r="C44" s="258"/>
      <c r="D44" s="266"/>
      <c r="E44" s="262"/>
      <c r="F44" s="153"/>
      <c r="G44" s="267"/>
      <c r="H44" s="88">
        <f>SUM(I44:K44)</f>
        <v>77029173.159999996</v>
      </c>
      <c r="I44" s="88">
        <v>77029173.159999996</v>
      </c>
      <c r="J44" s="88"/>
      <c r="K44" s="88"/>
      <c r="L44" s="43"/>
      <c r="M44" s="42"/>
      <c r="N44" s="66"/>
    </row>
    <row r="45" spans="1:14" ht="26.25" thickBot="1" x14ac:dyDescent="0.25">
      <c r="A45" s="168" t="s">
        <v>233</v>
      </c>
      <c r="B45" s="77" t="s">
        <v>196</v>
      </c>
      <c r="C45" s="264"/>
      <c r="D45" s="264"/>
      <c r="E45" s="156"/>
      <c r="F45" s="265"/>
      <c r="G45" s="156"/>
      <c r="H45" s="85">
        <f>I45+J45+K45</f>
        <v>1463554290</v>
      </c>
      <c r="I45" s="85">
        <v>1463554290</v>
      </c>
      <c r="J45" s="85"/>
      <c r="K45" s="85"/>
      <c r="L45" s="43"/>
      <c r="M45" s="42"/>
      <c r="N45" s="66"/>
    </row>
    <row r="46" spans="1:14" ht="28.5" x14ac:dyDescent="0.2">
      <c r="A46" s="208" t="s">
        <v>341</v>
      </c>
      <c r="B46" s="203" t="s">
        <v>47</v>
      </c>
      <c r="C46" s="312" t="s">
        <v>338</v>
      </c>
      <c r="D46" s="236" t="s">
        <v>26</v>
      </c>
      <c r="E46" s="146">
        <f>F46+G46</f>
        <v>4672000</v>
      </c>
      <c r="F46" s="179">
        <v>1319000</v>
      </c>
      <c r="G46" s="146">
        <f>H46</f>
        <v>3353000</v>
      </c>
      <c r="H46" s="68">
        <f>I46+J46+K46</f>
        <v>3353000</v>
      </c>
      <c r="I46" s="87">
        <f>SUM(I47)</f>
        <v>3353000</v>
      </c>
      <c r="J46" s="87">
        <f t="shared" ref="J46:K46" si="10">SUM(J47)</f>
        <v>0</v>
      </c>
      <c r="K46" s="87">
        <f t="shared" si="10"/>
        <v>0</v>
      </c>
      <c r="L46" s="43"/>
      <c r="M46" s="42"/>
      <c r="N46" s="66"/>
    </row>
    <row r="47" spans="1:14" ht="26.25" thickBot="1" x14ac:dyDescent="0.25">
      <c r="A47" s="168" t="s">
        <v>339</v>
      </c>
      <c r="B47" s="232" t="s">
        <v>340</v>
      </c>
      <c r="C47" s="114"/>
      <c r="D47" s="114"/>
      <c r="E47" s="360"/>
      <c r="F47" s="85"/>
      <c r="G47" s="360"/>
      <c r="H47" s="85">
        <f>I47+J47+K47</f>
        <v>3353000</v>
      </c>
      <c r="I47" s="85">
        <v>3353000</v>
      </c>
      <c r="J47" s="85"/>
      <c r="K47" s="85"/>
      <c r="L47" s="43"/>
      <c r="M47" s="42"/>
      <c r="N47" s="66"/>
    </row>
    <row r="48" spans="1:14" ht="54.75" thickBot="1" x14ac:dyDescent="0.25">
      <c r="A48" s="46" t="s">
        <v>142</v>
      </c>
      <c r="B48" s="221"/>
      <c r="C48" s="222"/>
      <c r="D48" s="223"/>
      <c r="E48" s="224"/>
      <c r="F48" s="224"/>
      <c r="G48" s="224"/>
      <c r="H48" s="178">
        <f t="shared" ref="H48:H51" si="11">I48+J48+K48</f>
        <v>255850000</v>
      </c>
      <c r="I48" s="178">
        <f>I49</f>
        <v>255850000</v>
      </c>
      <c r="J48" s="178">
        <f>J49</f>
        <v>0</v>
      </c>
      <c r="K48" s="178">
        <f>K49</f>
        <v>0</v>
      </c>
      <c r="L48" s="43"/>
      <c r="M48" s="42"/>
      <c r="N48" s="66"/>
    </row>
    <row r="49" spans="1:14" ht="38.25" x14ac:dyDescent="0.2">
      <c r="A49" s="208" t="s">
        <v>383</v>
      </c>
      <c r="B49" s="209" t="s">
        <v>43</v>
      </c>
      <c r="C49" s="239" t="s">
        <v>144</v>
      </c>
      <c r="D49" s="236" t="s">
        <v>26</v>
      </c>
      <c r="E49" s="23">
        <v>255850000</v>
      </c>
      <c r="F49" s="23">
        <v>0</v>
      </c>
      <c r="G49" s="23">
        <f>E49-F49</f>
        <v>255850000</v>
      </c>
      <c r="H49" s="23">
        <f t="shared" si="11"/>
        <v>255850000</v>
      </c>
      <c r="I49" s="24">
        <f>SUM(I50:I51)</f>
        <v>255850000</v>
      </c>
      <c r="J49" s="24">
        <f>SUM(J51:J51)</f>
        <v>0</v>
      </c>
      <c r="K49" s="24">
        <f>SUM(K51:K51)</f>
        <v>0</v>
      </c>
      <c r="L49" s="43"/>
      <c r="M49" s="42"/>
      <c r="N49" s="66"/>
    </row>
    <row r="50" spans="1:14" ht="25.5" x14ac:dyDescent="0.2">
      <c r="A50" s="141" t="s">
        <v>350</v>
      </c>
      <c r="B50" s="147" t="s">
        <v>340</v>
      </c>
      <c r="C50" s="284"/>
      <c r="D50" s="367"/>
      <c r="E50" s="368"/>
      <c r="F50" s="368"/>
      <c r="G50" s="368"/>
      <c r="H50" s="23">
        <f t="shared" si="11"/>
        <v>850000</v>
      </c>
      <c r="I50" s="366">
        <v>850000</v>
      </c>
      <c r="J50" s="366"/>
      <c r="K50" s="366"/>
      <c r="L50" s="43"/>
      <c r="M50" s="42"/>
      <c r="N50" s="66"/>
    </row>
    <row r="51" spans="1:14" ht="26.25" thickBot="1" x14ac:dyDescent="0.25">
      <c r="A51" s="168" t="s">
        <v>235</v>
      </c>
      <c r="B51" s="232" t="s">
        <v>236</v>
      </c>
      <c r="C51" s="326"/>
      <c r="D51" s="327"/>
      <c r="E51" s="328"/>
      <c r="F51" s="328"/>
      <c r="G51" s="328"/>
      <c r="H51" s="177">
        <f t="shared" si="11"/>
        <v>255000000</v>
      </c>
      <c r="I51" s="25">
        <v>255000000</v>
      </c>
      <c r="J51" s="25"/>
      <c r="K51" s="25"/>
      <c r="L51" s="43"/>
      <c r="M51" s="42"/>
      <c r="N51" s="66"/>
    </row>
    <row r="52" spans="1:14" ht="33.75" customHeight="1" thickBot="1" x14ac:dyDescent="0.25">
      <c r="A52" s="245" t="s">
        <v>44</v>
      </c>
      <c r="B52" s="48"/>
      <c r="C52" s="48"/>
      <c r="D52" s="48"/>
      <c r="E52" s="49"/>
      <c r="F52" s="49"/>
      <c r="G52" s="49"/>
      <c r="H52" s="50">
        <f>H18+H41+I48</f>
        <v>2863898946.3400002</v>
      </c>
      <c r="I52" s="50">
        <f>SUM(I53:I71)</f>
        <v>2813393895.8299999</v>
      </c>
      <c r="J52" s="50">
        <f t="shared" ref="J52:K52" si="12">SUM(J53:J71)</f>
        <v>0</v>
      </c>
      <c r="K52" s="50">
        <f t="shared" si="12"/>
        <v>50505050.509999998</v>
      </c>
      <c r="L52" s="93">
        <f>I52+J52+K52</f>
        <v>2863898946.3400002</v>
      </c>
      <c r="M52" s="83">
        <f>SUM(H53:H71)</f>
        <v>2863898946.3400002</v>
      </c>
    </row>
    <row r="53" spans="1:14" ht="25.5" x14ac:dyDescent="0.2">
      <c r="A53" s="141" t="s">
        <v>308</v>
      </c>
      <c r="B53" s="147" t="s">
        <v>309</v>
      </c>
      <c r="C53" s="349"/>
      <c r="D53" s="349"/>
      <c r="E53" s="350"/>
      <c r="F53" s="350"/>
      <c r="G53" s="350"/>
      <c r="H53" s="292">
        <f t="shared" ref="H53:H71" si="13">I53+J53+K53</f>
        <v>108183.24</v>
      </c>
      <c r="I53" s="179">
        <f>I31</f>
        <v>108183.24</v>
      </c>
      <c r="J53" s="179">
        <f t="shared" ref="J53:K53" si="14">J31</f>
        <v>0</v>
      </c>
      <c r="K53" s="179">
        <f t="shared" si="14"/>
        <v>0</v>
      </c>
      <c r="L53" s="348"/>
      <c r="M53" s="93"/>
    </row>
    <row r="54" spans="1:14" ht="25.5" x14ac:dyDescent="0.2">
      <c r="A54" s="142" t="s">
        <v>185</v>
      </c>
      <c r="B54" s="203" t="s">
        <v>131</v>
      </c>
      <c r="C54" s="233"/>
      <c r="D54" s="233"/>
      <c r="E54" s="234"/>
      <c r="F54" s="234"/>
      <c r="G54" s="234"/>
      <c r="H54" s="292">
        <f t="shared" si="13"/>
        <v>845324.08000000007</v>
      </c>
      <c r="I54" s="78">
        <f>I20</f>
        <v>845324.08000000007</v>
      </c>
      <c r="J54" s="78">
        <f>J20</f>
        <v>0</v>
      </c>
      <c r="K54" s="78">
        <f>K20</f>
        <v>0</v>
      </c>
      <c r="L54" s="140"/>
      <c r="M54" s="81"/>
    </row>
    <row r="55" spans="1:14" ht="25.5" x14ac:dyDescent="0.2">
      <c r="A55" s="141" t="s">
        <v>229</v>
      </c>
      <c r="B55" s="147" t="s">
        <v>191</v>
      </c>
      <c r="C55" s="237"/>
      <c r="D55" s="237"/>
      <c r="E55" s="238"/>
      <c r="F55" s="238"/>
      <c r="G55" s="238"/>
      <c r="H55" s="8">
        <f t="shared" si="13"/>
        <v>83687083.779999986</v>
      </c>
      <c r="I55" s="69">
        <f t="shared" ref="I55:K55" si="15">I23</f>
        <v>83687083.779999986</v>
      </c>
      <c r="J55" s="69">
        <f t="shared" si="15"/>
        <v>0</v>
      </c>
      <c r="K55" s="69">
        <f t="shared" si="15"/>
        <v>0</v>
      </c>
      <c r="L55" s="140"/>
      <c r="M55" s="81" t="s">
        <v>27</v>
      </c>
    </row>
    <row r="56" spans="1:14" ht="25.5" x14ac:dyDescent="0.2">
      <c r="A56" s="141" t="s">
        <v>265</v>
      </c>
      <c r="B56" s="147" t="s">
        <v>370</v>
      </c>
      <c r="C56" s="233"/>
      <c r="D56" s="233"/>
      <c r="E56" s="234"/>
      <c r="F56" s="234"/>
      <c r="G56" s="234"/>
      <c r="H56" s="8">
        <f t="shared" si="13"/>
        <v>333970.36</v>
      </c>
      <c r="I56" s="78">
        <f>I22</f>
        <v>333970.36</v>
      </c>
      <c r="J56" s="78">
        <f>J22</f>
        <v>0</v>
      </c>
      <c r="K56" s="78">
        <f>K22</f>
        <v>0</v>
      </c>
      <c r="L56" s="140"/>
      <c r="M56" s="81"/>
    </row>
    <row r="57" spans="1:14" ht="25.5" x14ac:dyDescent="0.2">
      <c r="A57" s="141" t="s">
        <v>266</v>
      </c>
      <c r="B57" s="147" t="s">
        <v>371</v>
      </c>
      <c r="C57" s="233"/>
      <c r="D57" s="233"/>
      <c r="E57" s="234"/>
      <c r="F57" s="234"/>
      <c r="G57" s="234"/>
      <c r="H57" s="8">
        <f t="shared" si="13"/>
        <v>33063066.030000001</v>
      </c>
      <c r="I57" s="78">
        <f>I25</f>
        <v>33063066.030000001</v>
      </c>
      <c r="J57" s="78">
        <f>J25</f>
        <v>0</v>
      </c>
      <c r="K57" s="78">
        <f>K25</f>
        <v>0</v>
      </c>
      <c r="L57" s="140"/>
      <c r="M57" s="81"/>
    </row>
    <row r="58" spans="1:14" ht="25.5" x14ac:dyDescent="0.2">
      <c r="A58" s="141" t="s">
        <v>265</v>
      </c>
      <c r="B58" s="147" t="s">
        <v>272</v>
      </c>
      <c r="C58" s="233"/>
      <c r="D58" s="233"/>
      <c r="E58" s="234"/>
      <c r="F58" s="234"/>
      <c r="G58" s="234"/>
      <c r="H58" s="8">
        <f t="shared" si="13"/>
        <v>1123193.8900000001</v>
      </c>
      <c r="I58" s="78">
        <f>I21</f>
        <v>1123193.8900000001</v>
      </c>
      <c r="J58" s="78">
        <f>J21</f>
        <v>0</v>
      </c>
      <c r="K58" s="78">
        <f>K21</f>
        <v>0</v>
      </c>
      <c r="L58" s="140"/>
      <c r="M58" s="81"/>
    </row>
    <row r="59" spans="1:14" ht="25.5" x14ac:dyDescent="0.2">
      <c r="A59" s="141" t="s">
        <v>266</v>
      </c>
      <c r="B59" s="147" t="s">
        <v>272</v>
      </c>
      <c r="C59" s="233"/>
      <c r="D59" s="233"/>
      <c r="E59" s="234"/>
      <c r="F59" s="234"/>
      <c r="G59" s="234"/>
      <c r="H59" s="8">
        <f t="shared" si="13"/>
        <v>19852147.699999999</v>
      </c>
      <c r="I59" s="78">
        <f>I24</f>
        <v>19852147.699999999</v>
      </c>
      <c r="J59" s="78">
        <f>J24</f>
        <v>0</v>
      </c>
      <c r="K59" s="78">
        <f>K24</f>
        <v>0</v>
      </c>
      <c r="L59" s="140"/>
      <c r="M59" s="81"/>
    </row>
    <row r="60" spans="1:14" ht="25.5" x14ac:dyDescent="0.2">
      <c r="A60" s="141" t="s">
        <v>267</v>
      </c>
      <c r="B60" s="147" t="s">
        <v>272</v>
      </c>
      <c r="C60" s="233"/>
      <c r="D60" s="233"/>
      <c r="E60" s="234"/>
      <c r="F60" s="234"/>
      <c r="G60" s="234"/>
      <c r="H60" s="8">
        <f t="shared" si="13"/>
        <v>91344046.599999994</v>
      </c>
      <c r="I60" s="78">
        <f t="shared" ref="I60:K60" si="16">I26</f>
        <v>91344046.599999994</v>
      </c>
      <c r="J60" s="78">
        <f t="shared" si="16"/>
        <v>0</v>
      </c>
      <c r="K60" s="78">
        <f t="shared" si="16"/>
        <v>0</v>
      </c>
      <c r="L60" s="140"/>
      <c r="M60" s="81"/>
    </row>
    <row r="61" spans="1:14" ht="25.5" x14ac:dyDescent="0.2">
      <c r="A61" s="141" t="s">
        <v>145</v>
      </c>
      <c r="B61" s="147" t="s">
        <v>192</v>
      </c>
      <c r="C61" s="233"/>
      <c r="D61" s="233"/>
      <c r="E61" s="234"/>
      <c r="F61" s="234"/>
      <c r="G61" s="234"/>
      <c r="H61" s="8">
        <f t="shared" si="13"/>
        <v>1852511.85</v>
      </c>
      <c r="I61" s="78">
        <f t="shared" ref="I61:K62" si="17">I36</f>
        <v>1852511.85</v>
      </c>
      <c r="J61" s="78">
        <f t="shared" si="17"/>
        <v>0</v>
      </c>
      <c r="K61" s="78">
        <f t="shared" si="17"/>
        <v>0</v>
      </c>
      <c r="L61" s="140"/>
      <c r="M61" s="81"/>
    </row>
    <row r="62" spans="1:14" ht="25.5" x14ac:dyDescent="0.2">
      <c r="A62" s="141" t="s">
        <v>146</v>
      </c>
      <c r="B62" s="147" t="s">
        <v>192</v>
      </c>
      <c r="C62" s="233"/>
      <c r="D62" s="233"/>
      <c r="E62" s="234"/>
      <c r="F62" s="234"/>
      <c r="G62" s="234"/>
      <c r="H62" s="8">
        <f t="shared" si="13"/>
        <v>183398672.81999999</v>
      </c>
      <c r="I62" s="78">
        <f t="shared" si="17"/>
        <v>183398672.81999999</v>
      </c>
      <c r="J62" s="78">
        <f t="shared" si="17"/>
        <v>0</v>
      </c>
      <c r="K62" s="78">
        <f t="shared" si="17"/>
        <v>0</v>
      </c>
      <c r="L62" s="140"/>
      <c r="M62" s="81"/>
    </row>
    <row r="63" spans="1:14" ht="25.5" x14ac:dyDescent="0.2">
      <c r="A63" s="80" t="s">
        <v>150</v>
      </c>
      <c r="B63" s="76" t="s">
        <v>193</v>
      </c>
      <c r="C63" s="233"/>
      <c r="D63" s="233"/>
      <c r="E63" s="234"/>
      <c r="F63" s="234"/>
      <c r="G63" s="234"/>
      <c r="H63" s="8">
        <f t="shared" si="13"/>
        <v>505050.51</v>
      </c>
      <c r="I63" s="78">
        <f t="shared" ref="I63:K64" si="18">I32</f>
        <v>0</v>
      </c>
      <c r="J63" s="78">
        <f t="shared" si="18"/>
        <v>0</v>
      </c>
      <c r="K63" s="78">
        <f t="shared" si="18"/>
        <v>505050.51</v>
      </c>
      <c r="L63" s="140"/>
      <c r="M63" s="81"/>
    </row>
    <row r="64" spans="1:14" ht="25.5" x14ac:dyDescent="0.2">
      <c r="A64" s="80" t="s">
        <v>151</v>
      </c>
      <c r="B64" s="76" t="s">
        <v>194</v>
      </c>
      <c r="C64" s="233"/>
      <c r="D64" s="233"/>
      <c r="E64" s="234"/>
      <c r="F64" s="234"/>
      <c r="G64" s="234"/>
      <c r="H64" s="8">
        <f t="shared" si="13"/>
        <v>50000000</v>
      </c>
      <c r="I64" s="78">
        <f t="shared" si="18"/>
        <v>0</v>
      </c>
      <c r="J64" s="78">
        <f t="shared" si="18"/>
        <v>0</v>
      </c>
      <c r="K64" s="78">
        <f t="shared" si="18"/>
        <v>50000000</v>
      </c>
      <c r="L64" s="140"/>
      <c r="M64" s="81"/>
    </row>
    <row r="65" spans="1:14" ht="25.5" x14ac:dyDescent="0.2">
      <c r="A65" s="141" t="s">
        <v>392</v>
      </c>
      <c r="B65" s="147" t="s">
        <v>398</v>
      </c>
      <c r="C65" s="233"/>
      <c r="D65" s="233"/>
      <c r="E65" s="234"/>
      <c r="F65" s="234"/>
      <c r="G65" s="234"/>
      <c r="H65" s="8">
        <f t="shared" si="13"/>
        <v>5979992.3200000003</v>
      </c>
      <c r="I65" s="78">
        <f>I39</f>
        <v>5979992.3200000003</v>
      </c>
      <c r="J65" s="78">
        <f t="shared" ref="J65:K65" si="19">J39</f>
        <v>0</v>
      </c>
      <c r="K65" s="78">
        <f t="shared" si="19"/>
        <v>0</v>
      </c>
      <c r="L65" s="140"/>
      <c r="M65" s="81"/>
    </row>
    <row r="66" spans="1:14" ht="25.5" x14ac:dyDescent="0.2">
      <c r="A66" s="141" t="s">
        <v>395</v>
      </c>
      <c r="B66" s="147" t="s">
        <v>399</v>
      </c>
      <c r="C66" s="233"/>
      <c r="D66" s="233"/>
      <c r="E66" s="234"/>
      <c r="F66" s="234"/>
      <c r="G66" s="234"/>
      <c r="H66" s="8">
        <f t="shared" si="13"/>
        <v>592019240</v>
      </c>
      <c r="I66" s="78">
        <f>I40</f>
        <v>592019240</v>
      </c>
      <c r="J66" s="78">
        <f t="shared" ref="J66:K66" si="20">J40</f>
        <v>0</v>
      </c>
      <c r="K66" s="78">
        <f t="shared" si="20"/>
        <v>0</v>
      </c>
      <c r="L66" s="140"/>
      <c r="M66" s="81"/>
    </row>
    <row r="67" spans="1:14" ht="25.5" x14ac:dyDescent="0.2">
      <c r="A67" s="142" t="s">
        <v>350</v>
      </c>
      <c r="B67" s="203" t="s">
        <v>340</v>
      </c>
      <c r="C67" s="233"/>
      <c r="D67" s="233"/>
      <c r="E67" s="234"/>
      <c r="F67" s="234"/>
      <c r="G67" s="234"/>
      <c r="H67" s="8">
        <f t="shared" si="13"/>
        <v>850000</v>
      </c>
      <c r="I67" s="78">
        <f>I50</f>
        <v>850000</v>
      </c>
      <c r="J67" s="78">
        <f t="shared" ref="J67:K67" si="21">J50</f>
        <v>0</v>
      </c>
      <c r="K67" s="78">
        <f t="shared" si="21"/>
        <v>0</v>
      </c>
      <c r="L67" s="140"/>
      <c r="M67" s="81"/>
    </row>
    <row r="68" spans="1:14" ht="25.5" x14ac:dyDescent="0.2">
      <c r="A68" s="141" t="s">
        <v>234</v>
      </c>
      <c r="B68" s="147" t="s">
        <v>237</v>
      </c>
      <c r="C68" s="233"/>
      <c r="D68" s="233"/>
      <c r="E68" s="234"/>
      <c r="F68" s="234"/>
      <c r="G68" s="234"/>
      <c r="H68" s="8">
        <f t="shared" si="13"/>
        <v>255000000</v>
      </c>
      <c r="I68" s="78">
        <f>I51</f>
        <v>255000000</v>
      </c>
      <c r="J68" s="78">
        <f t="shared" ref="J68:K68" si="22">J51</f>
        <v>0</v>
      </c>
      <c r="K68" s="78">
        <f t="shared" si="22"/>
        <v>0</v>
      </c>
      <c r="L68" s="140"/>
      <c r="M68" s="81"/>
    </row>
    <row r="69" spans="1:14" ht="25.5" x14ac:dyDescent="0.2">
      <c r="A69" s="142" t="s">
        <v>339</v>
      </c>
      <c r="B69" s="203" t="s">
        <v>340</v>
      </c>
      <c r="C69" s="233"/>
      <c r="D69" s="233"/>
      <c r="E69" s="234"/>
      <c r="F69" s="234"/>
      <c r="G69" s="234"/>
      <c r="H69" s="8">
        <f t="shared" si="13"/>
        <v>3353000</v>
      </c>
      <c r="I69" s="78">
        <f>I47</f>
        <v>3353000</v>
      </c>
      <c r="J69" s="78">
        <f t="shared" ref="J69:K69" si="23">J47</f>
        <v>0</v>
      </c>
      <c r="K69" s="78">
        <f t="shared" si="23"/>
        <v>0</v>
      </c>
      <c r="L69" s="140"/>
      <c r="M69" s="81"/>
    </row>
    <row r="70" spans="1:14" ht="25.5" x14ac:dyDescent="0.2">
      <c r="A70" s="142" t="s">
        <v>232</v>
      </c>
      <c r="B70" s="209" t="s">
        <v>197</v>
      </c>
      <c r="C70" s="58"/>
      <c r="D70" s="58"/>
      <c r="E70" s="59"/>
      <c r="F70" s="59"/>
      <c r="G70" s="59"/>
      <c r="H70" s="8">
        <f t="shared" si="13"/>
        <v>77029173.159999996</v>
      </c>
      <c r="I70" s="8">
        <f t="shared" ref="I70:K71" si="24">I44</f>
        <v>77029173.159999996</v>
      </c>
      <c r="J70" s="8">
        <f t="shared" si="24"/>
        <v>0</v>
      </c>
      <c r="K70" s="8">
        <f t="shared" si="24"/>
        <v>0</v>
      </c>
    </row>
    <row r="71" spans="1:14" ht="30.75" customHeight="1" thickBot="1" x14ac:dyDescent="0.25">
      <c r="A71" s="168" t="s">
        <v>233</v>
      </c>
      <c r="B71" s="76" t="s">
        <v>198</v>
      </c>
      <c r="C71" s="58"/>
      <c r="D71" s="58"/>
      <c r="E71" s="59"/>
      <c r="F71" s="59"/>
      <c r="G71" s="59"/>
      <c r="H71" s="8">
        <f t="shared" si="13"/>
        <v>1463554290</v>
      </c>
      <c r="I71" s="8">
        <f t="shared" si="24"/>
        <v>1463554290</v>
      </c>
      <c r="J71" s="8">
        <f t="shared" si="24"/>
        <v>0</v>
      </c>
      <c r="K71" s="8">
        <f t="shared" si="24"/>
        <v>0</v>
      </c>
    </row>
    <row r="72" spans="1:14" ht="28.5" customHeight="1" thickBot="1" x14ac:dyDescent="0.25">
      <c r="A72" s="422" t="s">
        <v>90</v>
      </c>
      <c r="B72" s="422"/>
      <c r="C72" s="422"/>
      <c r="D72" s="422"/>
      <c r="E72" s="422"/>
      <c r="F72" s="422"/>
      <c r="G72" s="422"/>
      <c r="H72" s="422"/>
      <c r="I72" s="422"/>
      <c r="J72" s="422"/>
      <c r="K72" s="422"/>
    </row>
    <row r="73" spans="1:14" ht="44.25" customHeight="1" thickBot="1" x14ac:dyDescent="0.25">
      <c r="A73" s="10" t="s">
        <v>30</v>
      </c>
      <c r="B73" s="291"/>
      <c r="C73" s="290"/>
      <c r="D73" s="290"/>
      <c r="E73" s="290"/>
      <c r="F73" s="290"/>
      <c r="G73" s="290"/>
      <c r="H73" s="305">
        <f t="shared" ref="H73:H82" si="25">I73+J73+K73</f>
        <v>179540070.25</v>
      </c>
      <c r="I73" s="305">
        <f>I74</f>
        <v>179540070.25</v>
      </c>
      <c r="J73" s="305">
        <f>J74</f>
        <v>0</v>
      </c>
      <c r="K73" s="305">
        <f>K74</f>
        <v>0</v>
      </c>
    </row>
    <row r="74" spans="1:14" ht="43.5" customHeight="1" thickBot="1" x14ac:dyDescent="0.25">
      <c r="A74" s="46" t="s">
        <v>18</v>
      </c>
      <c r="B74" s="291"/>
      <c r="C74" s="290"/>
      <c r="D74" s="290"/>
      <c r="E74" s="290"/>
      <c r="F74" s="290"/>
      <c r="G74" s="290"/>
      <c r="H74" s="178">
        <f t="shared" si="25"/>
        <v>179540070.25</v>
      </c>
      <c r="I74" s="178">
        <f>I75+I80+I85+I89+I94</f>
        <v>179540070.25</v>
      </c>
      <c r="J74" s="178">
        <f>J75+J80+J85+J89</f>
        <v>0</v>
      </c>
      <c r="K74" s="178">
        <f>K75+K80+K85+K89</f>
        <v>0</v>
      </c>
      <c r="L74" s="3">
        <f>H75+H80+H85+H89</f>
        <v>139258208.27000001</v>
      </c>
    </row>
    <row r="75" spans="1:14" ht="69" customHeight="1" x14ac:dyDescent="0.2">
      <c r="A75" s="167" t="s">
        <v>121</v>
      </c>
      <c r="B75" s="172" t="s">
        <v>57</v>
      </c>
      <c r="C75" s="75" t="s">
        <v>120</v>
      </c>
      <c r="D75" s="71" t="s">
        <v>26</v>
      </c>
      <c r="E75" s="87">
        <v>303900000</v>
      </c>
      <c r="F75" s="87">
        <v>1529341.57</v>
      </c>
      <c r="G75" s="175">
        <f>E75-F75</f>
        <v>302370658.43000001</v>
      </c>
      <c r="H75" s="24">
        <f t="shared" si="25"/>
        <v>44047689.119999997</v>
      </c>
      <c r="I75" s="146">
        <f>SUM(I76:I77)</f>
        <v>44047689.119999997</v>
      </c>
      <c r="J75" s="146">
        <f t="shared" ref="J75:K75" si="26">SUM(J76)</f>
        <v>0</v>
      </c>
      <c r="K75" s="146">
        <f t="shared" si="26"/>
        <v>0</v>
      </c>
      <c r="L75" s="43"/>
      <c r="M75" s="43"/>
      <c r="N75" s="43"/>
    </row>
    <row r="76" spans="1:14" ht="27.75" customHeight="1" x14ac:dyDescent="0.2">
      <c r="A76" s="141" t="s">
        <v>297</v>
      </c>
      <c r="B76" s="147" t="s">
        <v>300</v>
      </c>
      <c r="C76" s="117"/>
      <c r="D76" s="92"/>
      <c r="E76" s="88"/>
      <c r="F76" s="88"/>
      <c r="G76" s="119"/>
      <c r="H76" s="23">
        <f t="shared" si="25"/>
        <v>2202384.46</v>
      </c>
      <c r="I76" s="146">
        <f>250281.52+1952102.94</f>
        <v>2202384.46</v>
      </c>
      <c r="J76" s="24"/>
      <c r="K76" s="24"/>
      <c r="L76" s="43"/>
      <c r="M76" s="43"/>
      <c r="N76" s="43"/>
    </row>
    <row r="77" spans="1:14" ht="28.5" customHeight="1" x14ac:dyDescent="0.2">
      <c r="A77" s="141" t="s">
        <v>343</v>
      </c>
      <c r="B77" s="147" t="s">
        <v>345</v>
      </c>
      <c r="C77" s="303"/>
      <c r="D77" s="321"/>
      <c r="E77" s="119"/>
      <c r="F77" s="119"/>
      <c r="G77" s="119"/>
      <c r="H77" s="23">
        <f t="shared" si="25"/>
        <v>41845304.659999996</v>
      </c>
      <c r="I77" s="146">
        <v>41845304.659999996</v>
      </c>
      <c r="J77" s="24"/>
      <c r="K77" s="24"/>
      <c r="L77" s="43"/>
      <c r="M77" s="43"/>
      <c r="N77" s="43"/>
    </row>
    <row r="78" spans="1:14" ht="38.25" x14ac:dyDescent="0.2">
      <c r="A78" s="141" t="s">
        <v>81</v>
      </c>
      <c r="B78" s="254"/>
      <c r="C78" s="259"/>
      <c r="D78" s="259"/>
      <c r="E78" s="259"/>
      <c r="F78" s="259"/>
      <c r="G78" s="259"/>
      <c r="H78" s="329">
        <f t="shared" si="25"/>
        <v>836615.54</v>
      </c>
      <c r="I78" s="329">
        <v>836615.54</v>
      </c>
      <c r="J78" s="329"/>
      <c r="K78" s="329"/>
      <c r="L78" s="43"/>
      <c r="M78" s="43"/>
      <c r="N78" s="43"/>
    </row>
    <row r="79" spans="1:14" ht="39" thickBot="1" x14ac:dyDescent="0.25">
      <c r="A79" s="143" t="s">
        <v>189</v>
      </c>
      <c r="B79" s="255"/>
      <c r="C79" s="154"/>
      <c r="D79" s="154"/>
      <c r="E79" s="154"/>
      <c r="F79" s="154"/>
      <c r="G79" s="154"/>
      <c r="H79" s="304">
        <f t="shared" si="25"/>
        <v>15895695.34</v>
      </c>
      <c r="I79" s="304">
        <v>15895695.34</v>
      </c>
      <c r="J79" s="304"/>
      <c r="K79" s="304"/>
      <c r="L79" s="43"/>
      <c r="M79" s="43"/>
      <c r="N79" s="43"/>
    </row>
    <row r="80" spans="1:14" ht="83.25" customHeight="1" x14ac:dyDescent="0.2">
      <c r="A80" s="167" t="s">
        <v>336</v>
      </c>
      <c r="B80" s="30" t="s">
        <v>43</v>
      </c>
      <c r="C80" s="71" t="s">
        <v>68</v>
      </c>
      <c r="D80" s="71" t="s">
        <v>26</v>
      </c>
      <c r="E80" s="175">
        <v>252242850</v>
      </c>
      <c r="F80" s="175">
        <v>2921441.77</v>
      </c>
      <c r="G80" s="175">
        <f>E80-F80</f>
        <v>249321408.22999999</v>
      </c>
      <c r="H80" s="24">
        <f t="shared" si="25"/>
        <v>32191551.530000001</v>
      </c>
      <c r="I80" s="35">
        <f>SUM(I81:I82)</f>
        <v>32191551.530000001</v>
      </c>
      <c r="J80" s="35">
        <f t="shared" ref="J80:K80" si="27">SUM(J81)</f>
        <v>0</v>
      </c>
      <c r="K80" s="35">
        <f t="shared" si="27"/>
        <v>0</v>
      </c>
      <c r="L80" s="43"/>
      <c r="M80" s="43"/>
      <c r="N80" s="43"/>
    </row>
    <row r="81" spans="1:14" ht="25.5" x14ac:dyDescent="0.2">
      <c r="A81" s="141" t="s">
        <v>297</v>
      </c>
      <c r="B81" s="147" t="s">
        <v>314</v>
      </c>
      <c r="C81" s="121"/>
      <c r="D81" s="121"/>
      <c r="E81" s="146"/>
      <c r="F81" s="146"/>
      <c r="G81" s="146"/>
      <c r="H81" s="23">
        <f t="shared" si="25"/>
        <v>1609577.58</v>
      </c>
      <c r="I81" s="24">
        <v>1609577.58</v>
      </c>
      <c r="J81" s="24"/>
      <c r="K81" s="24"/>
      <c r="L81" s="43"/>
      <c r="M81" s="43"/>
      <c r="N81" s="43"/>
    </row>
    <row r="82" spans="1:14" ht="29.25" customHeight="1" x14ac:dyDescent="0.2">
      <c r="A82" s="141" t="s">
        <v>343</v>
      </c>
      <c r="B82" s="147" t="s">
        <v>347</v>
      </c>
      <c r="C82" s="92"/>
      <c r="D82" s="92"/>
      <c r="E82" s="192"/>
      <c r="F82" s="192"/>
      <c r="G82" s="192"/>
      <c r="H82" s="23">
        <f t="shared" si="25"/>
        <v>30581973.949999999</v>
      </c>
      <c r="I82" s="23">
        <v>30581973.949999999</v>
      </c>
      <c r="J82" s="23"/>
      <c r="K82" s="23"/>
      <c r="L82" s="43"/>
      <c r="M82" s="43"/>
      <c r="N82" s="43"/>
    </row>
    <row r="83" spans="1:14" ht="38.25" x14ac:dyDescent="0.2">
      <c r="A83" s="141" t="s">
        <v>81</v>
      </c>
      <c r="B83" s="5"/>
      <c r="C83" s="117"/>
      <c r="D83" s="220"/>
      <c r="E83" s="274"/>
      <c r="F83" s="274"/>
      <c r="G83" s="274"/>
      <c r="H83" s="323">
        <f>I83+J83+K83</f>
        <v>3032729.15</v>
      </c>
      <c r="I83" s="323">
        <v>3032729.15</v>
      </c>
      <c r="J83" s="23"/>
      <c r="K83" s="23"/>
      <c r="L83" s="43"/>
      <c r="M83" s="43"/>
      <c r="N83" s="43"/>
    </row>
    <row r="84" spans="1:14" ht="39" thickBot="1" x14ac:dyDescent="0.25">
      <c r="A84" s="143" t="s">
        <v>189</v>
      </c>
      <c r="B84" s="300"/>
      <c r="C84" s="301"/>
      <c r="D84" s="161"/>
      <c r="E84" s="275"/>
      <c r="F84" s="275"/>
      <c r="G84" s="275"/>
      <c r="H84" s="302">
        <f>SUM(I84:K84)</f>
        <v>14040447.550000001</v>
      </c>
      <c r="I84" s="302">
        <v>14040447.550000001</v>
      </c>
      <c r="J84" s="177"/>
      <c r="K84" s="177"/>
      <c r="L84" s="43"/>
      <c r="M84" s="43"/>
      <c r="N84" s="43"/>
    </row>
    <row r="85" spans="1:14" ht="45" customHeight="1" x14ac:dyDescent="0.2">
      <c r="A85" s="167" t="s">
        <v>335</v>
      </c>
      <c r="B85" s="30" t="s">
        <v>57</v>
      </c>
      <c r="C85" s="71" t="s">
        <v>69</v>
      </c>
      <c r="D85" s="71" t="s">
        <v>26</v>
      </c>
      <c r="E85" s="175">
        <v>269584450</v>
      </c>
      <c r="F85" s="175">
        <v>5787486.8200000003</v>
      </c>
      <c r="G85" s="175">
        <f>E85-F85</f>
        <v>263796963.18000001</v>
      </c>
      <c r="H85" s="35">
        <f>I85+J85+K85</f>
        <v>50990690</v>
      </c>
      <c r="I85" s="35">
        <f>SUM(I86:I87)</f>
        <v>50990690</v>
      </c>
      <c r="J85" s="35">
        <v>0</v>
      </c>
      <c r="K85" s="35">
        <v>0</v>
      </c>
      <c r="L85" s="43"/>
      <c r="M85" s="43"/>
      <c r="N85" s="43"/>
    </row>
    <row r="86" spans="1:14" ht="25.5" x14ac:dyDescent="0.2">
      <c r="A86" s="141" t="s">
        <v>297</v>
      </c>
      <c r="B86" s="147" t="s">
        <v>316</v>
      </c>
      <c r="C86" s="92"/>
      <c r="D86" s="92"/>
      <c r="E86" s="192"/>
      <c r="F86" s="192"/>
      <c r="G86" s="192"/>
      <c r="H86" s="23">
        <f t="shared" ref="H86:H87" si="28">I86+J86+K86</f>
        <v>2549534.5</v>
      </c>
      <c r="I86" s="23">
        <v>2549534.5</v>
      </c>
      <c r="J86" s="23"/>
      <c r="K86" s="23"/>
      <c r="L86" s="43"/>
      <c r="M86" s="43"/>
      <c r="N86" s="43"/>
    </row>
    <row r="87" spans="1:14" ht="30.75" customHeight="1" x14ac:dyDescent="0.2">
      <c r="A87" s="141" t="s">
        <v>343</v>
      </c>
      <c r="B87" s="147" t="s">
        <v>346</v>
      </c>
      <c r="C87" s="92"/>
      <c r="D87" s="92"/>
      <c r="E87" s="192"/>
      <c r="F87" s="192"/>
      <c r="G87" s="192"/>
      <c r="H87" s="23">
        <f t="shared" si="28"/>
        <v>48441155.5</v>
      </c>
      <c r="I87" s="23">
        <v>48441155.5</v>
      </c>
      <c r="J87" s="23"/>
      <c r="K87" s="23"/>
      <c r="L87" s="43"/>
      <c r="M87" s="43"/>
      <c r="N87" s="43"/>
    </row>
    <row r="88" spans="1:14" ht="39" thickBot="1" x14ac:dyDescent="0.25">
      <c r="A88" s="168" t="s">
        <v>81</v>
      </c>
      <c r="B88" s="300"/>
      <c r="C88" s="301"/>
      <c r="D88" s="161"/>
      <c r="E88" s="275"/>
      <c r="F88" s="275"/>
      <c r="G88" s="275"/>
      <c r="H88" s="324">
        <f>SUM(I88:K88)</f>
        <v>1704913.18</v>
      </c>
      <c r="I88" s="324">
        <v>1704913.18</v>
      </c>
      <c r="J88" s="177"/>
      <c r="K88" s="177"/>
      <c r="L88" s="43"/>
      <c r="M88" s="43"/>
      <c r="N88" s="43"/>
    </row>
    <row r="89" spans="1:14" ht="30.75" customHeight="1" x14ac:dyDescent="0.2">
      <c r="A89" s="167" t="s">
        <v>334</v>
      </c>
      <c r="B89" s="30" t="s">
        <v>43</v>
      </c>
      <c r="C89" s="71" t="s">
        <v>70</v>
      </c>
      <c r="D89" s="71" t="s">
        <v>26</v>
      </c>
      <c r="E89" s="175">
        <v>88472700</v>
      </c>
      <c r="F89" s="175">
        <v>1724314.68</v>
      </c>
      <c r="G89" s="175">
        <f>E89-F89</f>
        <v>86748385.319999993</v>
      </c>
      <c r="H89" s="35">
        <f>I89+J89+K89</f>
        <v>12028277.620000001</v>
      </c>
      <c r="I89" s="35">
        <f>SUM(I90:I91)</f>
        <v>12028277.620000001</v>
      </c>
      <c r="J89" s="35">
        <v>0</v>
      </c>
      <c r="K89" s="35">
        <v>0</v>
      </c>
      <c r="L89" s="43"/>
      <c r="M89" s="43"/>
      <c r="N89" s="43"/>
    </row>
    <row r="90" spans="1:14" ht="30.75" customHeight="1" x14ac:dyDescent="0.2">
      <c r="A90" s="141" t="s">
        <v>297</v>
      </c>
      <c r="B90" s="147" t="s">
        <v>298</v>
      </c>
      <c r="C90" s="121"/>
      <c r="D90" s="92"/>
      <c r="E90" s="146"/>
      <c r="F90" s="146"/>
      <c r="G90" s="146"/>
      <c r="H90" s="23">
        <f t="shared" ref="H90:H91" si="29">I90+J90+K90</f>
        <v>601413.87999999989</v>
      </c>
      <c r="I90" s="24">
        <f>73839.93+527573.95</f>
        <v>601413.87999999989</v>
      </c>
      <c r="J90" s="24"/>
      <c r="K90" s="24"/>
      <c r="L90" s="43"/>
      <c r="M90" s="43"/>
      <c r="N90" s="43"/>
    </row>
    <row r="91" spans="1:14" ht="30.75" customHeight="1" x14ac:dyDescent="0.2">
      <c r="A91" s="141" t="s">
        <v>343</v>
      </c>
      <c r="B91" s="147" t="s">
        <v>344</v>
      </c>
      <c r="C91" s="121"/>
      <c r="D91" s="121"/>
      <c r="E91" s="146"/>
      <c r="F91" s="146"/>
      <c r="G91" s="146"/>
      <c r="H91" s="23">
        <f t="shared" si="29"/>
        <v>11426863.74</v>
      </c>
      <c r="I91" s="24">
        <v>11426863.74</v>
      </c>
      <c r="J91" s="24"/>
      <c r="K91" s="24"/>
      <c r="L91" s="43"/>
      <c r="M91" s="43"/>
      <c r="N91" s="43"/>
    </row>
    <row r="92" spans="1:14" ht="38.25" x14ac:dyDescent="0.2">
      <c r="A92" s="142" t="s">
        <v>81</v>
      </c>
      <c r="B92" s="338"/>
      <c r="C92" s="117"/>
      <c r="D92" s="220"/>
      <c r="E92" s="220"/>
      <c r="F92" s="220"/>
      <c r="G92" s="220"/>
      <c r="H92" s="339">
        <f>SUM(I92:K92)</f>
        <v>890188.44</v>
      </c>
      <c r="I92" s="323">
        <v>890188.44</v>
      </c>
      <c r="J92" s="23"/>
      <c r="K92" s="23"/>
      <c r="L92" s="43"/>
      <c r="M92" s="43"/>
      <c r="N92" s="43"/>
    </row>
    <row r="93" spans="1:14" ht="39" thickBot="1" x14ac:dyDescent="0.25">
      <c r="A93" s="143" t="s">
        <v>189</v>
      </c>
      <c r="B93" s="300"/>
      <c r="C93" s="301"/>
      <c r="D93" s="161"/>
      <c r="E93" s="275"/>
      <c r="F93" s="275"/>
      <c r="G93" s="275"/>
      <c r="H93" s="302">
        <f>SUM(I93:K93)</f>
        <v>4295959.26</v>
      </c>
      <c r="I93" s="302">
        <v>4295959.26</v>
      </c>
      <c r="J93" s="177"/>
      <c r="K93" s="177"/>
      <c r="L93" s="43"/>
      <c r="M93" s="43"/>
      <c r="N93" s="43"/>
    </row>
    <row r="94" spans="1:14" ht="83.25" customHeight="1" x14ac:dyDescent="0.2">
      <c r="A94" s="167" t="s">
        <v>302</v>
      </c>
      <c r="B94" s="172" t="s">
        <v>57</v>
      </c>
      <c r="C94" s="190" t="s">
        <v>307</v>
      </c>
      <c r="D94" s="190" t="s">
        <v>26</v>
      </c>
      <c r="E94" s="175">
        <v>80230429.609999999</v>
      </c>
      <c r="F94" s="175">
        <v>39948567.630000003</v>
      </c>
      <c r="G94" s="175">
        <f>E94-F94</f>
        <v>40281861.979999997</v>
      </c>
      <c r="H94" s="35">
        <f>I94+J94+K94</f>
        <v>40281861.980000004</v>
      </c>
      <c r="I94" s="35">
        <f>SUM(I95:I96)</f>
        <v>40281861.980000004</v>
      </c>
      <c r="J94" s="35">
        <f t="shared" ref="J94:K94" si="30">SUM(J95:J96)</f>
        <v>0</v>
      </c>
      <c r="K94" s="35">
        <f t="shared" si="30"/>
        <v>0</v>
      </c>
      <c r="L94" s="340"/>
      <c r="M94" s="43"/>
      <c r="N94" s="43"/>
    </row>
    <row r="95" spans="1:14" ht="30.75" customHeight="1" x14ac:dyDescent="0.2">
      <c r="A95" s="141" t="s">
        <v>318</v>
      </c>
      <c r="B95" s="147" t="s">
        <v>373</v>
      </c>
      <c r="C95" s="353"/>
      <c r="D95" s="353"/>
      <c r="E95" s="192"/>
      <c r="F95" s="192" t="s">
        <v>27</v>
      </c>
      <c r="G95" s="192"/>
      <c r="H95" s="23">
        <f t="shared" ref="H95:H96" si="31">I95+J95+K95</f>
        <v>2014093.1</v>
      </c>
      <c r="I95" s="23">
        <v>2014093.1</v>
      </c>
      <c r="J95" s="23"/>
      <c r="K95" s="23"/>
      <c r="L95" s="340"/>
      <c r="M95" s="43"/>
      <c r="N95" s="43"/>
    </row>
    <row r="96" spans="1:14" ht="34.5" customHeight="1" thickBot="1" x14ac:dyDescent="0.25">
      <c r="A96" s="168" t="s">
        <v>304</v>
      </c>
      <c r="B96" s="232" t="s">
        <v>372</v>
      </c>
      <c r="C96" s="301"/>
      <c r="D96" s="161"/>
      <c r="E96" s="275"/>
      <c r="F96" s="275"/>
      <c r="G96" s="275"/>
      <c r="H96" s="177">
        <f t="shared" si="31"/>
        <v>38267768.880000003</v>
      </c>
      <c r="I96" s="177">
        <v>38267768.880000003</v>
      </c>
      <c r="J96" s="177"/>
      <c r="K96" s="177"/>
      <c r="L96" s="341"/>
      <c r="M96" s="43"/>
      <c r="N96" s="43"/>
    </row>
    <row r="97" spans="1:14" ht="34.5" customHeight="1" thickBot="1" x14ac:dyDescent="0.25">
      <c r="A97" s="308" t="s">
        <v>52</v>
      </c>
      <c r="B97" s="309"/>
      <c r="C97" s="309"/>
      <c r="D97" s="309"/>
      <c r="E97" s="309"/>
      <c r="F97" s="309"/>
      <c r="G97" s="309"/>
      <c r="H97" s="310">
        <f>I97+J97+K97</f>
        <v>179540070.24999997</v>
      </c>
      <c r="I97" s="310">
        <f>SUM(I98:I107)</f>
        <v>179540070.24999997</v>
      </c>
      <c r="J97" s="310">
        <f t="shared" ref="J97:K97" si="32">SUM(J98:J107)</f>
        <v>0</v>
      </c>
      <c r="K97" s="310">
        <f t="shared" si="32"/>
        <v>0</v>
      </c>
      <c r="L97" s="64">
        <f>H73</f>
        <v>179540070.25</v>
      </c>
      <c r="M97" s="120"/>
      <c r="N97" s="83">
        <f>H97-L97</f>
        <v>0</v>
      </c>
    </row>
    <row r="98" spans="1:14" ht="25.5" x14ac:dyDescent="0.2">
      <c r="A98" s="142" t="s">
        <v>297</v>
      </c>
      <c r="B98" s="203" t="s">
        <v>315</v>
      </c>
      <c r="C98" s="167"/>
      <c r="D98" s="167"/>
      <c r="E98" s="167"/>
      <c r="F98" s="167"/>
      <c r="G98" s="167"/>
      <c r="H98" s="24">
        <f t="shared" ref="H98:H107" si="33">I98+J98+K98</f>
        <v>1609577.58</v>
      </c>
      <c r="I98" s="175">
        <f>I81</f>
        <v>1609577.58</v>
      </c>
      <c r="J98" s="175">
        <f t="shared" ref="J98:K98" si="34">J81</f>
        <v>0</v>
      </c>
      <c r="K98" s="175">
        <f t="shared" si="34"/>
        <v>0</v>
      </c>
      <c r="L98" s="64"/>
      <c r="M98" s="120"/>
      <c r="N98" s="83"/>
    </row>
    <row r="99" spans="1:14" ht="25.5" x14ac:dyDescent="0.2">
      <c r="A99" s="141" t="s">
        <v>343</v>
      </c>
      <c r="B99" s="147" t="s">
        <v>315</v>
      </c>
      <c r="C99" s="208"/>
      <c r="D99" s="208"/>
      <c r="E99" s="208"/>
      <c r="F99" s="208"/>
      <c r="G99" s="208"/>
      <c r="H99" s="24">
        <f t="shared" si="33"/>
        <v>30581973.949999999</v>
      </c>
      <c r="I99" s="146">
        <f>I82</f>
        <v>30581973.949999999</v>
      </c>
      <c r="J99" s="146">
        <f t="shared" ref="J99:K99" si="35">J82</f>
        <v>0</v>
      </c>
      <c r="K99" s="146">
        <f t="shared" si="35"/>
        <v>0</v>
      </c>
      <c r="L99" s="64"/>
      <c r="M99" s="120"/>
      <c r="N99" s="83"/>
    </row>
    <row r="100" spans="1:14" ht="25.5" x14ac:dyDescent="0.2">
      <c r="A100" s="142" t="s">
        <v>297</v>
      </c>
      <c r="B100" s="203" t="s">
        <v>317</v>
      </c>
      <c r="C100" s="208"/>
      <c r="D100" s="208"/>
      <c r="E100" s="208"/>
      <c r="F100" s="208"/>
      <c r="G100" s="208"/>
      <c r="H100" s="24">
        <f t="shared" si="33"/>
        <v>2549534.5</v>
      </c>
      <c r="I100" s="146">
        <f>I86</f>
        <v>2549534.5</v>
      </c>
      <c r="J100" s="146">
        <f t="shared" ref="J100:K100" si="36">J86</f>
        <v>0</v>
      </c>
      <c r="K100" s="146">
        <f t="shared" si="36"/>
        <v>0</v>
      </c>
      <c r="L100" s="64"/>
      <c r="M100" s="120"/>
      <c r="N100" s="83"/>
    </row>
    <row r="101" spans="1:14" ht="25.5" x14ac:dyDescent="0.2">
      <c r="A101" s="141" t="s">
        <v>343</v>
      </c>
      <c r="B101" s="147" t="s">
        <v>348</v>
      </c>
      <c r="C101" s="208"/>
      <c r="D101" s="208"/>
      <c r="E101" s="208"/>
      <c r="F101" s="208"/>
      <c r="G101" s="208"/>
      <c r="H101" s="24">
        <f t="shared" si="33"/>
        <v>48441155.5</v>
      </c>
      <c r="I101" s="146">
        <f>I87</f>
        <v>48441155.5</v>
      </c>
      <c r="J101" s="146">
        <f t="shared" ref="J101:K101" si="37">J87</f>
        <v>0</v>
      </c>
      <c r="K101" s="146">
        <f t="shared" si="37"/>
        <v>0</v>
      </c>
      <c r="L101" s="64"/>
      <c r="M101" s="120"/>
      <c r="N101" s="83"/>
    </row>
    <row r="102" spans="1:14" ht="25.5" x14ac:dyDescent="0.2">
      <c r="A102" s="142" t="s">
        <v>297</v>
      </c>
      <c r="B102" s="203" t="s">
        <v>299</v>
      </c>
      <c r="C102" s="208"/>
      <c r="D102" s="208"/>
      <c r="E102" s="208"/>
      <c r="F102" s="208"/>
      <c r="G102" s="208"/>
      <c r="H102" s="24">
        <f t="shared" si="33"/>
        <v>601413.87999999989</v>
      </c>
      <c r="I102" s="146">
        <f>I90</f>
        <v>601413.87999999989</v>
      </c>
      <c r="J102" s="146">
        <f t="shared" ref="J102:K102" si="38">J90</f>
        <v>0</v>
      </c>
      <c r="K102" s="146">
        <f t="shared" si="38"/>
        <v>0</v>
      </c>
      <c r="L102" s="64"/>
      <c r="M102" s="120"/>
      <c r="N102" s="83"/>
    </row>
    <row r="103" spans="1:14" ht="25.5" x14ac:dyDescent="0.2">
      <c r="A103" s="141" t="s">
        <v>343</v>
      </c>
      <c r="B103" s="147" t="s">
        <v>299</v>
      </c>
      <c r="C103" s="208"/>
      <c r="D103" s="208"/>
      <c r="E103" s="208"/>
      <c r="F103" s="208"/>
      <c r="G103" s="208"/>
      <c r="H103" s="24">
        <f t="shared" si="33"/>
        <v>11426863.74</v>
      </c>
      <c r="I103" s="146">
        <f>I91</f>
        <v>11426863.74</v>
      </c>
      <c r="J103" s="146">
        <f t="shared" ref="J103:K103" si="39">J91</f>
        <v>0</v>
      </c>
      <c r="K103" s="146">
        <f t="shared" si="39"/>
        <v>0</v>
      </c>
      <c r="L103" s="64"/>
      <c r="M103" s="120"/>
      <c r="N103" s="83"/>
    </row>
    <row r="104" spans="1:14" ht="25.5" x14ac:dyDescent="0.2">
      <c r="A104" s="141" t="s">
        <v>297</v>
      </c>
      <c r="B104" s="147" t="s">
        <v>301</v>
      </c>
      <c r="C104" s="184"/>
      <c r="D104" s="184"/>
      <c r="E104" s="184"/>
      <c r="F104" s="184"/>
      <c r="G104" s="184"/>
      <c r="H104" s="24">
        <f t="shared" si="33"/>
        <v>2202384.46</v>
      </c>
      <c r="I104" s="192">
        <f>I76</f>
        <v>2202384.46</v>
      </c>
      <c r="J104" s="192">
        <f t="shared" ref="J104:K104" si="40">J76</f>
        <v>0</v>
      </c>
      <c r="K104" s="192">
        <f t="shared" si="40"/>
        <v>0</v>
      </c>
      <c r="L104" s="64"/>
      <c r="M104" s="120"/>
      <c r="N104" s="83"/>
    </row>
    <row r="105" spans="1:14" ht="25.5" x14ac:dyDescent="0.2">
      <c r="A105" s="141" t="s">
        <v>343</v>
      </c>
      <c r="B105" s="147" t="s">
        <v>349</v>
      </c>
      <c r="C105" s="354"/>
      <c r="D105" s="354"/>
      <c r="E105" s="354"/>
      <c r="F105" s="354"/>
      <c r="G105" s="354"/>
      <c r="H105" s="24">
        <f t="shared" si="33"/>
        <v>41845304.659999996</v>
      </c>
      <c r="I105" s="225">
        <f>I77</f>
        <v>41845304.659999996</v>
      </c>
      <c r="J105" s="225">
        <f t="shared" ref="J105:K105" si="41">J77</f>
        <v>0</v>
      </c>
      <c r="K105" s="225">
        <f t="shared" si="41"/>
        <v>0</v>
      </c>
      <c r="L105" s="64"/>
      <c r="M105" s="120"/>
      <c r="N105" s="83"/>
    </row>
    <row r="106" spans="1:14" ht="25.5" x14ac:dyDescent="0.2">
      <c r="A106" s="141" t="s">
        <v>318</v>
      </c>
      <c r="B106" s="147" t="s">
        <v>374</v>
      </c>
      <c r="C106" s="354"/>
      <c r="D106" s="354"/>
      <c r="E106" s="354"/>
      <c r="F106" s="354"/>
      <c r="G106" s="354"/>
      <c r="H106" s="23">
        <f t="shared" si="33"/>
        <v>2014093.1</v>
      </c>
      <c r="I106" s="225">
        <f>I95</f>
        <v>2014093.1</v>
      </c>
      <c r="J106" s="225">
        <f t="shared" ref="J106:K106" si="42">J95</f>
        <v>0</v>
      </c>
      <c r="K106" s="225">
        <f t="shared" si="42"/>
        <v>0</v>
      </c>
      <c r="L106" s="64"/>
      <c r="M106" s="120"/>
      <c r="N106" s="83"/>
    </row>
    <row r="107" spans="1:14" ht="26.25" thickBot="1" x14ac:dyDescent="0.25">
      <c r="A107" s="141" t="s">
        <v>303</v>
      </c>
      <c r="B107" s="206" t="s">
        <v>375</v>
      </c>
      <c r="C107" s="342"/>
      <c r="D107" s="342"/>
      <c r="E107" s="342"/>
      <c r="F107" s="342"/>
      <c r="G107" s="342"/>
      <c r="H107" s="25">
        <f t="shared" si="33"/>
        <v>38267768.880000003</v>
      </c>
      <c r="I107" s="176">
        <f>I96</f>
        <v>38267768.880000003</v>
      </c>
      <c r="J107" s="176">
        <f t="shared" ref="J107:K107" si="43">J96</f>
        <v>0</v>
      </c>
      <c r="K107" s="176">
        <f t="shared" si="43"/>
        <v>0</v>
      </c>
      <c r="L107" s="64"/>
      <c r="M107" s="120"/>
      <c r="N107" s="83"/>
    </row>
    <row r="108" spans="1:14" ht="27" customHeight="1" thickBot="1" x14ac:dyDescent="0.25">
      <c r="A108" s="422" t="s">
        <v>109</v>
      </c>
      <c r="B108" s="422"/>
      <c r="C108" s="422"/>
      <c r="D108" s="422"/>
      <c r="E108" s="422"/>
      <c r="F108" s="422"/>
      <c r="G108" s="422"/>
      <c r="H108" s="422"/>
      <c r="I108" s="422"/>
      <c r="J108" s="422"/>
      <c r="K108" s="422"/>
      <c r="L108" s="64"/>
      <c r="M108" s="120"/>
      <c r="N108" s="83"/>
    </row>
    <row r="109" spans="1:14" ht="39" thickBot="1" x14ac:dyDescent="0.25">
      <c r="A109" s="10" t="s">
        <v>29</v>
      </c>
      <c r="B109" s="27"/>
      <c r="C109" s="27"/>
      <c r="D109" s="27"/>
      <c r="E109" s="27"/>
      <c r="F109" s="27"/>
      <c r="G109" s="27"/>
      <c r="H109" s="305">
        <f>I109+J109+K109</f>
        <v>220677556.84</v>
      </c>
      <c r="I109" s="305">
        <f>I110+I113+I126</f>
        <v>220677556.84</v>
      </c>
      <c r="J109" s="305">
        <f>J110+J113+J126</f>
        <v>0</v>
      </c>
      <c r="K109" s="305">
        <f>K110+K113+K126</f>
        <v>0</v>
      </c>
      <c r="L109" s="64"/>
      <c r="M109" s="120"/>
      <c r="N109" s="83"/>
    </row>
    <row r="110" spans="1:14" ht="68.25" thickBot="1" x14ac:dyDescent="0.25">
      <c r="A110" s="46" t="s">
        <v>19</v>
      </c>
      <c r="B110" s="221"/>
      <c r="C110" s="306"/>
      <c r="D110" s="307"/>
      <c r="E110" s="290"/>
      <c r="F110" s="290"/>
      <c r="G110" s="290"/>
      <c r="H110" s="178">
        <f>I110+J110+K110</f>
        <v>0</v>
      </c>
      <c r="I110" s="178">
        <f>SUM(I111)</f>
        <v>0</v>
      </c>
      <c r="J110" s="178">
        <f>SUM(J111)</f>
        <v>0</v>
      </c>
      <c r="K110" s="178">
        <f>SUM(K111)</f>
        <v>0</v>
      </c>
      <c r="L110" s="64"/>
      <c r="M110" s="120"/>
      <c r="N110" s="83"/>
    </row>
    <row r="111" spans="1:14" ht="41.25" customHeight="1" x14ac:dyDescent="0.2">
      <c r="A111" s="75" t="s">
        <v>107</v>
      </c>
      <c r="B111" s="79" t="s">
        <v>57</v>
      </c>
      <c r="C111" s="71" t="s">
        <v>108</v>
      </c>
      <c r="D111" s="71" t="s">
        <v>230</v>
      </c>
      <c r="E111" s="87">
        <v>1231857390</v>
      </c>
      <c r="F111" s="175">
        <v>17910000</v>
      </c>
      <c r="G111" s="87">
        <f>E111-F111</f>
        <v>1213947390</v>
      </c>
      <c r="H111" s="35">
        <f>I111+J111+K111</f>
        <v>0</v>
      </c>
      <c r="I111" s="35">
        <v>0</v>
      </c>
      <c r="J111" s="35">
        <v>0</v>
      </c>
      <c r="K111" s="35">
        <v>0</v>
      </c>
      <c r="L111" s="64"/>
      <c r="M111" s="120"/>
      <c r="N111" s="83"/>
    </row>
    <row r="112" spans="1:14" ht="39" thickBot="1" x14ac:dyDescent="0.25">
      <c r="A112" s="143" t="s">
        <v>81</v>
      </c>
      <c r="B112" s="6"/>
      <c r="C112" s="118"/>
      <c r="D112" s="118"/>
      <c r="E112" s="118"/>
      <c r="F112" s="118"/>
      <c r="G112" s="118"/>
      <c r="H112" s="304">
        <f>SUM(I112:K112)</f>
        <v>1904180</v>
      </c>
      <c r="I112" s="304">
        <v>1904180</v>
      </c>
      <c r="J112" s="25"/>
      <c r="K112" s="25"/>
      <c r="L112" s="64"/>
      <c r="M112" s="120"/>
      <c r="N112" s="83"/>
    </row>
    <row r="113" spans="1:14" ht="47.25" customHeight="1" thickBot="1" x14ac:dyDescent="0.25">
      <c r="A113" s="46" t="s">
        <v>18</v>
      </c>
      <c r="B113" s="232"/>
      <c r="C113" s="343"/>
      <c r="D113" s="344"/>
      <c r="E113" s="345"/>
      <c r="F113" s="345"/>
      <c r="G113" s="345"/>
      <c r="H113" s="178">
        <f t="shared" ref="H113:H119" si="44">I113+J113+K113</f>
        <v>20953596.830000002</v>
      </c>
      <c r="I113" s="346">
        <f>I114+I118+I120+I122+I124+I116</f>
        <v>20953596.830000002</v>
      </c>
      <c r="J113" s="346">
        <f t="shared" ref="J113:K113" si="45">J114+J118+J120+J122+J124+J116</f>
        <v>0</v>
      </c>
      <c r="K113" s="346">
        <f t="shared" si="45"/>
        <v>0</v>
      </c>
      <c r="L113" s="228"/>
      <c r="M113" s="229"/>
      <c r="N113" s="83"/>
    </row>
    <row r="114" spans="1:14" ht="57" customHeight="1" x14ac:dyDescent="0.2">
      <c r="A114" s="167" t="s">
        <v>305</v>
      </c>
      <c r="B114" s="172" t="s">
        <v>47</v>
      </c>
      <c r="C114" s="190" t="s">
        <v>306</v>
      </c>
      <c r="D114" s="196" t="s">
        <v>26</v>
      </c>
      <c r="E114" s="175" t="s">
        <v>313</v>
      </c>
      <c r="F114" s="179">
        <v>0</v>
      </c>
      <c r="G114" s="175" t="s">
        <v>313</v>
      </c>
      <c r="H114" s="179">
        <f t="shared" si="44"/>
        <v>5250000</v>
      </c>
      <c r="I114" s="179">
        <f>SUM(I115)</f>
        <v>5250000</v>
      </c>
      <c r="J114" s="179">
        <f>SUM(J115)</f>
        <v>0</v>
      </c>
      <c r="K114" s="179">
        <f>SUM(K115)</f>
        <v>0</v>
      </c>
      <c r="L114" s="228"/>
      <c r="M114" s="229"/>
      <c r="N114" s="83"/>
    </row>
    <row r="115" spans="1:14" ht="30" customHeight="1" thickBot="1" x14ac:dyDescent="0.25">
      <c r="A115" s="143" t="s">
        <v>22</v>
      </c>
      <c r="B115" s="206" t="s">
        <v>93</v>
      </c>
      <c r="C115" s="197"/>
      <c r="D115" s="198"/>
      <c r="E115" s="199"/>
      <c r="F115" s="194"/>
      <c r="G115" s="199"/>
      <c r="H115" s="174">
        <f t="shared" si="44"/>
        <v>5250000</v>
      </c>
      <c r="I115" s="174">
        <f>5000000+250000</f>
        <v>5250000</v>
      </c>
      <c r="J115" s="174"/>
      <c r="K115" s="174"/>
      <c r="L115" s="228"/>
      <c r="M115" s="229"/>
      <c r="N115" s="83"/>
    </row>
    <row r="116" spans="1:14" ht="52.5" customHeight="1" x14ac:dyDescent="0.2">
      <c r="A116" s="167" t="s">
        <v>387</v>
      </c>
      <c r="B116" s="172" t="s">
        <v>47</v>
      </c>
      <c r="C116" s="190" t="s">
        <v>388</v>
      </c>
      <c r="D116" s="196" t="s">
        <v>26</v>
      </c>
      <c r="E116" s="175" t="s">
        <v>389</v>
      </c>
      <c r="F116" s="179">
        <v>0</v>
      </c>
      <c r="G116" s="175" t="s">
        <v>389</v>
      </c>
      <c r="H116" s="179">
        <f t="shared" si="44"/>
        <v>471666.67</v>
      </c>
      <c r="I116" s="179">
        <f>SUM(I117)</f>
        <v>471666.67</v>
      </c>
      <c r="J116" s="179">
        <f>SUM(J117)</f>
        <v>0</v>
      </c>
      <c r="K116" s="179">
        <f>SUM(K117)</f>
        <v>0</v>
      </c>
      <c r="L116" s="228"/>
      <c r="M116" s="229"/>
      <c r="N116" s="83"/>
    </row>
    <row r="117" spans="1:14" ht="30" customHeight="1" thickBot="1" x14ac:dyDescent="0.25">
      <c r="A117" s="143" t="s">
        <v>22</v>
      </c>
      <c r="B117" s="206" t="s">
        <v>93</v>
      </c>
      <c r="C117" s="218"/>
      <c r="D117" s="352"/>
      <c r="E117" s="176"/>
      <c r="F117" s="174"/>
      <c r="G117" s="176"/>
      <c r="H117" s="174">
        <f t="shared" si="44"/>
        <v>471666.67</v>
      </c>
      <c r="I117" s="174">
        <v>471666.67</v>
      </c>
      <c r="J117" s="174"/>
      <c r="K117" s="174"/>
      <c r="L117" s="228"/>
      <c r="M117" s="229"/>
      <c r="N117" s="83"/>
    </row>
    <row r="118" spans="1:14" ht="51" x14ac:dyDescent="0.2">
      <c r="A118" s="167" t="s">
        <v>310</v>
      </c>
      <c r="B118" s="172" t="s">
        <v>47</v>
      </c>
      <c r="C118" s="190" t="s">
        <v>311</v>
      </c>
      <c r="D118" s="351" t="s">
        <v>23</v>
      </c>
      <c r="E118" s="175" t="s">
        <v>312</v>
      </c>
      <c r="F118" s="179">
        <v>390000</v>
      </c>
      <c r="G118" s="175" t="s">
        <v>342</v>
      </c>
      <c r="H118" s="179">
        <f t="shared" si="44"/>
        <v>6960302.1600000001</v>
      </c>
      <c r="I118" s="179">
        <f>SUM(I119)</f>
        <v>6960302.1600000001</v>
      </c>
      <c r="J118" s="179">
        <f>SUM(J119)</f>
        <v>0</v>
      </c>
      <c r="K118" s="179">
        <f>SUM(K119)</f>
        <v>0</v>
      </c>
      <c r="L118" s="228"/>
      <c r="M118" s="229"/>
      <c r="N118" s="83"/>
    </row>
    <row r="119" spans="1:14" ht="30" customHeight="1" thickBot="1" x14ac:dyDescent="0.25">
      <c r="A119" s="143" t="s">
        <v>22</v>
      </c>
      <c r="B119" s="206" t="s">
        <v>93</v>
      </c>
      <c r="C119" s="218"/>
      <c r="D119" s="352"/>
      <c r="E119" s="176"/>
      <c r="F119" s="174"/>
      <c r="G119" s="176"/>
      <c r="H119" s="174">
        <f t="shared" si="44"/>
        <v>6960302.1600000001</v>
      </c>
      <c r="I119" s="174">
        <f>1625567.86+5334734.3</f>
        <v>6960302.1600000001</v>
      </c>
      <c r="J119" s="174"/>
      <c r="K119" s="174"/>
      <c r="L119" s="228" t="s">
        <v>414</v>
      </c>
      <c r="M119" s="229"/>
      <c r="N119" s="83"/>
    </row>
    <row r="120" spans="1:14" ht="41.25" customHeight="1" x14ac:dyDescent="0.2">
      <c r="A120" s="109" t="s">
        <v>76</v>
      </c>
      <c r="B120" s="30" t="s">
        <v>47</v>
      </c>
      <c r="C120" s="190" t="s">
        <v>86</v>
      </c>
      <c r="D120" s="196" t="s">
        <v>26</v>
      </c>
      <c r="E120" s="175" t="s">
        <v>87</v>
      </c>
      <c r="F120" s="179"/>
      <c r="G120" s="175" t="s">
        <v>87</v>
      </c>
      <c r="H120" s="29">
        <f t="shared" ref="H120:H125" si="46">I120+J120+K120</f>
        <v>4950708</v>
      </c>
      <c r="I120" s="29">
        <f>SUM(I121:I121)</f>
        <v>4950708</v>
      </c>
      <c r="J120" s="29">
        <f>SUM(J121:J121)</f>
        <v>0</v>
      </c>
      <c r="K120" s="29">
        <f>SUM(K121:K121)</f>
        <v>0</v>
      </c>
      <c r="L120" s="42"/>
      <c r="M120" s="229"/>
      <c r="N120" s="83"/>
    </row>
    <row r="121" spans="1:14" ht="30" customHeight="1" thickBot="1" x14ac:dyDescent="0.25">
      <c r="A121" s="207" t="s">
        <v>22</v>
      </c>
      <c r="B121" s="77" t="s">
        <v>93</v>
      </c>
      <c r="C121" s="286"/>
      <c r="D121" s="286"/>
      <c r="E121" s="176"/>
      <c r="F121" s="174"/>
      <c r="G121" s="176"/>
      <c r="H121" s="13">
        <f t="shared" si="46"/>
        <v>4950708</v>
      </c>
      <c r="I121" s="13">
        <f>3500000+1450708</f>
        <v>4950708</v>
      </c>
      <c r="J121" s="13"/>
      <c r="K121" s="13"/>
      <c r="L121" s="148" t="s">
        <v>415</v>
      </c>
      <c r="M121" s="229"/>
      <c r="N121" s="83"/>
    </row>
    <row r="122" spans="1:14" ht="69.75" customHeight="1" x14ac:dyDescent="0.2">
      <c r="A122" s="109" t="s">
        <v>169</v>
      </c>
      <c r="B122" s="79" t="s">
        <v>47</v>
      </c>
      <c r="C122" s="190" t="s">
        <v>171</v>
      </c>
      <c r="D122" s="190" t="s">
        <v>77</v>
      </c>
      <c r="E122" s="175" t="s">
        <v>88</v>
      </c>
      <c r="F122" s="179">
        <v>45641</v>
      </c>
      <c r="G122" s="175" t="s">
        <v>231</v>
      </c>
      <c r="H122" s="29">
        <f t="shared" si="46"/>
        <v>1237840</v>
      </c>
      <c r="I122" s="29">
        <f>SUM(I123)</f>
        <v>1237840</v>
      </c>
      <c r="J122" s="29">
        <f>SUM(J123)</f>
        <v>0</v>
      </c>
      <c r="K122" s="29">
        <f>SUM(K123)</f>
        <v>0</v>
      </c>
      <c r="L122" s="43"/>
      <c r="M122" s="229"/>
      <c r="N122" s="83"/>
    </row>
    <row r="123" spans="1:14" ht="30" customHeight="1" thickBot="1" x14ac:dyDescent="0.25">
      <c r="A123" s="15" t="s">
        <v>22</v>
      </c>
      <c r="B123" s="77" t="s">
        <v>93</v>
      </c>
      <c r="C123" s="171"/>
      <c r="D123" s="145"/>
      <c r="E123" s="99"/>
      <c r="F123" s="13"/>
      <c r="G123" s="99"/>
      <c r="H123" s="13">
        <f t="shared" si="46"/>
        <v>1237840</v>
      </c>
      <c r="I123" s="13">
        <f>1332992-95152</f>
        <v>1237840</v>
      </c>
      <c r="J123" s="174"/>
      <c r="K123" s="13"/>
      <c r="L123" s="43" t="s">
        <v>416</v>
      </c>
      <c r="M123" s="229"/>
      <c r="N123" s="83"/>
    </row>
    <row r="124" spans="1:14" ht="67.5" customHeight="1" x14ac:dyDescent="0.2">
      <c r="A124" s="109" t="s">
        <v>170</v>
      </c>
      <c r="B124" s="79" t="s">
        <v>47</v>
      </c>
      <c r="C124" s="190" t="s">
        <v>172</v>
      </c>
      <c r="D124" s="71" t="s">
        <v>77</v>
      </c>
      <c r="E124" s="175" t="s">
        <v>89</v>
      </c>
      <c r="F124" s="180"/>
      <c r="G124" s="175" t="s">
        <v>89</v>
      </c>
      <c r="H124" s="29">
        <f t="shared" si="46"/>
        <v>2083080</v>
      </c>
      <c r="I124" s="29">
        <f>SUM(I125)</f>
        <v>2083080</v>
      </c>
      <c r="J124" s="29">
        <f>SUM(J125)</f>
        <v>0</v>
      </c>
      <c r="K124" s="29">
        <f>SUM(K125)</f>
        <v>0</v>
      </c>
      <c r="L124" s="43"/>
      <c r="M124" s="229"/>
      <c r="N124" s="83"/>
    </row>
    <row r="125" spans="1:14" ht="30" customHeight="1" thickBot="1" x14ac:dyDescent="0.25">
      <c r="A125" s="65" t="s">
        <v>22</v>
      </c>
      <c r="B125" s="77" t="s">
        <v>93</v>
      </c>
      <c r="C125" s="166"/>
      <c r="D125" s="164"/>
      <c r="E125" s="156"/>
      <c r="F125" s="165"/>
      <c r="G125" s="160"/>
      <c r="H125" s="22">
        <f t="shared" si="46"/>
        <v>2083080</v>
      </c>
      <c r="I125" s="22">
        <f>1200000+883080</f>
        <v>2083080</v>
      </c>
      <c r="J125" s="22"/>
      <c r="K125" s="22"/>
      <c r="L125" s="43" t="s">
        <v>417</v>
      </c>
      <c r="M125" s="229"/>
      <c r="N125" s="83">
        <f>2083080-I125</f>
        <v>0</v>
      </c>
    </row>
    <row r="126" spans="1:14" ht="30" customHeight="1" thickBot="1" x14ac:dyDescent="0.25">
      <c r="A126" s="46" t="s">
        <v>319</v>
      </c>
      <c r="B126" s="221"/>
      <c r="C126" s="222"/>
      <c r="D126" s="223"/>
      <c r="E126" s="224"/>
      <c r="F126" s="224"/>
      <c r="G126" s="224"/>
      <c r="H126" s="178">
        <f t="shared" ref="H126:H130" si="47">I126+J126+K126</f>
        <v>199723960.00999999</v>
      </c>
      <c r="I126" s="178">
        <f>I127+I131</f>
        <v>199723960.00999999</v>
      </c>
      <c r="J126" s="178">
        <f>J127+J131</f>
        <v>0</v>
      </c>
      <c r="K126" s="178">
        <f>K127+K131</f>
        <v>0</v>
      </c>
      <c r="L126" s="228"/>
      <c r="M126" s="229"/>
      <c r="N126" s="83"/>
    </row>
    <row r="127" spans="1:14" ht="51" x14ac:dyDescent="0.2">
      <c r="A127" s="208" t="s">
        <v>320</v>
      </c>
      <c r="B127" s="338" t="s">
        <v>51</v>
      </c>
      <c r="C127" s="312" t="s">
        <v>321</v>
      </c>
      <c r="D127" s="355" t="s">
        <v>26</v>
      </c>
      <c r="E127" s="146">
        <f>H127</f>
        <v>187097140.00999999</v>
      </c>
      <c r="F127" s="175">
        <v>0</v>
      </c>
      <c r="G127" s="146">
        <f>E127-F127</f>
        <v>187097140.00999999</v>
      </c>
      <c r="H127" s="24">
        <f t="shared" si="47"/>
        <v>187097140.00999999</v>
      </c>
      <c r="I127" s="24">
        <f>SUM(I128:I130)</f>
        <v>187097140.00999999</v>
      </c>
      <c r="J127" s="24">
        <f>SUM(J128:J130)</f>
        <v>0</v>
      </c>
      <c r="K127" s="24">
        <f>SUM(K128:K130)</f>
        <v>0</v>
      </c>
      <c r="L127" s="228"/>
      <c r="M127" s="229"/>
      <c r="N127" s="83"/>
    </row>
    <row r="128" spans="1:14" ht="30" customHeight="1" x14ac:dyDescent="0.2">
      <c r="A128" s="141" t="s">
        <v>322</v>
      </c>
      <c r="B128" s="147" t="s">
        <v>323</v>
      </c>
      <c r="C128" s="184"/>
      <c r="D128" s="361"/>
      <c r="E128" s="141"/>
      <c r="F128" s="141"/>
      <c r="G128" s="141"/>
      <c r="H128" s="23">
        <f t="shared" si="47"/>
        <v>1993404.82</v>
      </c>
      <c r="I128" s="88">
        <f>1870854.79+122550.03</f>
        <v>1993404.82</v>
      </c>
      <c r="J128" s="23"/>
      <c r="K128" s="23"/>
      <c r="L128" s="228"/>
      <c r="M128" s="229"/>
      <c r="N128" s="83"/>
    </row>
    <row r="129" spans="1:15" ht="30" customHeight="1" x14ac:dyDescent="0.2">
      <c r="A129" s="141" t="s">
        <v>324</v>
      </c>
      <c r="B129" s="147" t="s">
        <v>325</v>
      </c>
      <c r="C129" s="362"/>
      <c r="D129" s="363"/>
      <c r="E129" s="141"/>
      <c r="F129" s="141"/>
      <c r="G129" s="141"/>
      <c r="H129" s="23">
        <f t="shared" si="47"/>
        <v>25805572.579999998</v>
      </c>
      <c r="I129" s="23">
        <f>21400454.88+3148947.18+1256170.52</f>
        <v>25805572.579999998</v>
      </c>
      <c r="J129" s="23"/>
      <c r="K129" s="23"/>
      <c r="L129" s="228"/>
      <c r="M129" s="229"/>
      <c r="N129" s="83"/>
    </row>
    <row r="130" spans="1:15" ht="39" thickBot="1" x14ac:dyDescent="0.25">
      <c r="A130" s="143" t="s">
        <v>331</v>
      </c>
      <c r="B130" s="206" t="s">
        <v>326</v>
      </c>
      <c r="C130" s="364"/>
      <c r="D130" s="365"/>
      <c r="E130" s="143"/>
      <c r="F130" s="143"/>
      <c r="G130" s="143"/>
      <c r="H130" s="25">
        <f t="shared" si="47"/>
        <v>159298162.60999998</v>
      </c>
      <c r="I130" s="25">
        <f>25953775.14+8983506.26+124360881.21</f>
        <v>159298162.60999998</v>
      </c>
      <c r="J130" s="177"/>
      <c r="K130" s="177"/>
      <c r="L130" s="228"/>
      <c r="M130" s="229"/>
      <c r="N130" s="83"/>
    </row>
    <row r="131" spans="1:15" ht="51" x14ac:dyDescent="0.2">
      <c r="A131" s="167" t="s">
        <v>327</v>
      </c>
      <c r="B131" s="79" t="s">
        <v>51</v>
      </c>
      <c r="C131" s="312" t="s">
        <v>328</v>
      </c>
      <c r="D131" s="355" t="s">
        <v>48</v>
      </c>
      <c r="E131" s="146">
        <f>H131</f>
        <v>12626820</v>
      </c>
      <c r="F131" s="175">
        <v>0</v>
      </c>
      <c r="G131" s="146">
        <f>E131-F131</f>
        <v>12626820</v>
      </c>
      <c r="H131" s="35">
        <f>I131+J131+K131</f>
        <v>12626820</v>
      </c>
      <c r="I131" s="35">
        <f>SUM(I132)</f>
        <v>12626820</v>
      </c>
      <c r="J131" s="35">
        <f t="shared" ref="J131:K131" si="48">SUM(J132)</f>
        <v>0</v>
      </c>
      <c r="K131" s="35">
        <f t="shared" si="48"/>
        <v>0</v>
      </c>
      <c r="L131" s="228"/>
      <c r="M131" s="229"/>
      <c r="N131" s="83"/>
    </row>
    <row r="132" spans="1:15" ht="30" customHeight="1" thickBot="1" x14ac:dyDescent="0.25">
      <c r="A132" s="143" t="s">
        <v>329</v>
      </c>
      <c r="B132" s="206" t="s">
        <v>330</v>
      </c>
      <c r="C132" s="343"/>
      <c r="D132" s="344"/>
      <c r="E132" s="345"/>
      <c r="F132" s="345"/>
      <c r="G132" s="345"/>
      <c r="H132" s="177">
        <f>I132+J132+K132</f>
        <v>12626820</v>
      </c>
      <c r="I132" s="177">
        <v>12626820</v>
      </c>
      <c r="J132" s="177"/>
      <c r="K132" s="177"/>
      <c r="L132" s="228"/>
      <c r="M132" s="229"/>
      <c r="N132" s="83"/>
    </row>
    <row r="133" spans="1:15" ht="25.5" customHeight="1" thickBot="1" x14ac:dyDescent="0.25">
      <c r="A133" s="245" t="s">
        <v>127</v>
      </c>
      <c r="B133" s="40"/>
      <c r="C133" s="40"/>
      <c r="D133" s="40"/>
      <c r="E133" s="40"/>
      <c r="F133" s="40"/>
      <c r="G133" s="40"/>
      <c r="H133" s="60">
        <f t="shared" ref="H133:H173" si="49">I133+J133+K133</f>
        <v>220677556.84</v>
      </c>
      <c r="I133" s="60">
        <f>SUM(I134:I138)</f>
        <v>220677556.84</v>
      </c>
      <c r="J133" s="60">
        <f>SUM(J134:J138)</f>
        <v>0</v>
      </c>
      <c r="K133" s="60">
        <f>SUM(K134:K138)</f>
        <v>0</v>
      </c>
      <c r="L133" s="228"/>
      <c r="M133" s="229"/>
      <c r="N133" s="83"/>
    </row>
    <row r="134" spans="1:15" ht="25.5" customHeight="1" x14ac:dyDescent="0.2">
      <c r="A134" s="141" t="s">
        <v>322</v>
      </c>
      <c r="B134" s="147" t="s">
        <v>323</v>
      </c>
      <c r="C134" s="167"/>
      <c r="D134" s="167"/>
      <c r="E134" s="167"/>
      <c r="F134" s="167"/>
      <c r="G134" s="167"/>
      <c r="H134" s="337">
        <f t="shared" si="49"/>
        <v>1993404.82</v>
      </c>
      <c r="I134" s="175">
        <f>I128</f>
        <v>1993404.82</v>
      </c>
      <c r="J134" s="175">
        <f t="shared" ref="J134:K134" si="50">J128</f>
        <v>0</v>
      </c>
      <c r="K134" s="175">
        <f t="shared" si="50"/>
        <v>0</v>
      </c>
      <c r="L134" s="228"/>
      <c r="M134" s="229"/>
      <c r="N134" s="83"/>
    </row>
    <row r="135" spans="1:15" ht="25.5" customHeight="1" x14ac:dyDescent="0.2">
      <c r="A135" s="141" t="s">
        <v>324</v>
      </c>
      <c r="B135" s="147" t="s">
        <v>325</v>
      </c>
      <c r="C135" s="184"/>
      <c r="D135" s="184"/>
      <c r="E135" s="184"/>
      <c r="F135" s="184"/>
      <c r="G135" s="184"/>
      <c r="H135" s="337">
        <f t="shared" si="49"/>
        <v>25805572.579999998</v>
      </c>
      <c r="I135" s="192">
        <f>I129</f>
        <v>25805572.579999998</v>
      </c>
      <c r="J135" s="192">
        <f t="shared" ref="J135:K135" si="51">J129</f>
        <v>0</v>
      </c>
      <c r="K135" s="192">
        <f t="shared" si="51"/>
        <v>0</v>
      </c>
      <c r="L135" s="228"/>
      <c r="M135" s="229"/>
      <c r="N135" s="83"/>
    </row>
    <row r="136" spans="1:15" ht="38.25" x14ac:dyDescent="0.2">
      <c r="A136" s="141" t="s">
        <v>331</v>
      </c>
      <c r="B136" s="147" t="s">
        <v>326</v>
      </c>
      <c r="C136" s="184"/>
      <c r="D136" s="184"/>
      <c r="E136" s="184"/>
      <c r="F136" s="184"/>
      <c r="G136" s="184"/>
      <c r="H136" s="337">
        <f t="shared" si="49"/>
        <v>159298162.60999998</v>
      </c>
      <c r="I136" s="192">
        <f>I130</f>
        <v>159298162.60999998</v>
      </c>
      <c r="J136" s="192">
        <f t="shared" ref="J136:K136" si="52">J130</f>
        <v>0</v>
      </c>
      <c r="K136" s="192">
        <f t="shared" si="52"/>
        <v>0</v>
      </c>
      <c r="L136" s="228"/>
      <c r="M136" s="229"/>
      <c r="N136" s="83"/>
    </row>
    <row r="137" spans="1:15" ht="25.5" customHeight="1" x14ac:dyDescent="0.2">
      <c r="A137" s="142" t="s">
        <v>329</v>
      </c>
      <c r="B137" s="147" t="s">
        <v>330</v>
      </c>
      <c r="C137" s="208"/>
      <c r="D137" s="208"/>
      <c r="E137" s="208"/>
      <c r="F137" s="208"/>
      <c r="G137" s="208"/>
      <c r="H137" s="337">
        <f t="shared" si="49"/>
        <v>12626820</v>
      </c>
      <c r="I137" s="146">
        <f>I132</f>
        <v>12626820</v>
      </c>
      <c r="J137" s="146">
        <f t="shared" ref="J137:K137" si="53">J132</f>
        <v>0</v>
      </c>
      <c r="K137" s="146">
        <f t="shared" si="53"/>
        <v>0</v>
      </c>
      <c r="L137" s="228"/>
      <c r="M137" s="229"/>
      <c r="N137" s="83"/>
    </row>
    <row r="138" spans="1:15" ht="25.5" customHeight="1" thickBot="1" x14ac:dyDescent="0.25">
      <c r="A138" s="142" t="s">
        <v>22</v>
      </c>
      <c r="B138" s="203" t="s">
        <v>93</v>
      </c>
      <c r="C138" s="208"/>
      <c r="D138" s="208"/>
      <c r="E138" s="208"/>
      <c r="F138" s="208"/>
      <c r="G138" s="208"/>
      <c r="H138" s="337">
        <f t="shared" si="49"/>
        <v>20953596.830000002</v>
      </c>
      <c r="I138" s="146">
        <f>I115+I119+I121+I123+I125+I117</f>
        <v>20953596.830000002</v>
      </c>
      <c r="J138" s="146">
        <f t="shared" ref="J138:K138" si="54">J115+J119+J121+J123+J125+J117</f>
        <v>0</v>
      </c>
      <c r="K138" s="146">
        <f t="shared" si="54"/>
        <v>0</v>
      </c>
      <c r="L138" s="228"/>
      <c r="M138" s="229"/>
      <c r="N138" s="83"/>
    </row>
    <row r="139" spans="1:15" ht="36" customHeight="1" thickBot="1" x14ac:dyDescent="0.25">
      <c r="A139" s="244" t="s">
        <v>64</v>
      </c>
      <c r="B139" s="244"/>
      <c r="C139" s="244"/>
      <c r="D139" s="244"/>
      <c r="E139" s="244"/>
      <c r="F139" s="244"/>
      <c r="G139" s="244"/>
      <c r="H139" s="34">
        <f>I139+J139+K139</f>
        <v>3264116573.4300003</v>
      </c>
      <c r="I139" s="34">
        <f>SUM(I140:I173)</f>
        <v>3213611522.9200001</v>
      </c>
      <c r="J139" s="34">
        <f>SUM(J141:J173)</f>
        <v>0</v>
      </c>
      <c r="K139" s="34">
        <f>SUM(K141:K173)</f>
        <v>50505050.509999998</v>
      </c>
      <c r="L139" s="3">
        <f>H52+H97+H133</f>
        <v>3264116573.4300003</v>
      </c>
      <c r="M139" s="93">
        <f>SUM(H140:H173)</f>
        <v>3264116573.4300003</v>
      </c>
      <c r="O139" s="83">
        <f>M139-L139</f>
        <v>0</v>
      </c>
    </row>
    <row r="140" spans="1:15" ht="25.5" x14ac:dyDescent="0.2">
      <c r="A140" s="141" t="s">
        <v>308</v>
      </c>
      <c r="B140" s="147" t="s">
        <v>309</v>
      </c>
      <c r="C140" s="347"/>
      <c r="D140" s="347"/>
      <c r="E140" s="347"/>
      <c r="F140" s="347"/>
      <c r="G140" s="347"/>
      <c r="H140" s="24">
        <f t="shared" si="49"/>
        <v>108183.24</v>
      </c>
      <c r="I140" s="175">
        <f t="shared" ref="I140:K153" si="55">I53</f>
        <v>108183.24</v>
      </c>
      <c r="J140" s="175">
        <f t="shared" si="55"/>
        <v>0</v>
      </c>
      <c r="K140" s="175">
        <f t="shared" si="55"/>
        <v>0</v>
      </c>
      <c r="L140" s="3"/>
      <c r="M140" s="93"/>
    </row>
    <row r="141" spans="1:15" ht="27.75" customHeight="1" x14ac:dyDescent="0.2">
      <c r="A141" s="141" t="s">
        <v>185</v>
      </c>
      <c r="B141" s="147" t="s">
        <v>131</v>
      </c>
      <c r="C141" s="235"/>
      <c r="D141" s="235"/>
      <c r="E141" s="235"/>
      <c r="F141" s="235"/>
      <c r="G141" s="235"/>
      <c r="H141" s="24">
        <f t="shared" si="49"/>
        <v>845324.08000000007</v>
      </c>
      <c r="I141" s="119">
        <f t="shared" si="55"/>
        <v>845324.08000000007</v>
      </c>
      <c r="J141" s="119">
        <f t="shared" si="55"/>
        <v>0</v>
      </c>
      <c r="K141" s="119">
        <f t="shared" si="55"/>
        <v>0</v>
      </c>
      <c r="L141" s="3"/>
      <c r="M141" s="93"/>
    </row>
    <row r="142" spans="1:15" ht="27.75" customHeight="1" x14ac:dyDescent="0.2">
      <c r="A142" s="141" t="s">
        <v>228</v>
      </c>
      <c r="B142" s="147" t="s">
        <v>191</v>
      </c>
      <c r="C142" s="235"/>
      <c r="D142" s="235"/>
      <c r="E142" s="235"/>
      <c r="F142" s="235"/>
      <c r="G142" s="235"/>
      <c r="H142" s="23">
        <f t="shared" si="49"/>
        <v>83687083.779999986</v>
      </c>
      <c r="I142" s="119">
        <f t="shared" si="55"/>
        <v>83687083.779999986</v>
      </c>
      <c r="J142" s="119">
        <f t="shared" si="55"/>
        <v>0</v>
      </c>
      <c r="K142" s="119">
        <f t="shared" si="55"/>
        <v>0</v>
      </c>
      <c r="L142" s="3"/>
      <c r="M142" s="93"/>
    </row>
    <row r="143" spans="1:15" ht="27.75" customHeight="1" x14ac:dyDescent="0.2">
      <c r="A143" s="141" t="s">
        <v>265</v>
      </c>
      <c r="B143" s="147" t="s">
        <v>370</v>
      </c>
      <c r="C143" s="235"/>
      <c r="D143" s="235"/>
      <c r="E143" s="235"/>
      <c r="F143" s="235"/>
      <c r="G143" s="235"/>
      <c r="H143" s="23">
        <f t="shared" si="49"/>
        <v>333970.36</v>
      </c>
      <c r="I143" s="119">
        <f t="shared" si="55"/>
        <v>333970.36</v>
      </c>
      <c r="J143" s="119">
        <f t="shared" si="55"/>
        <v>0</v>
      </c>
      <c r="K143" s="119">
        <f t="shared" si="55"/>
        <v>0</v>
      </c>
      <c r="L143" s="3"/>
      <c r="M143" s="93"/>
    </row>
    <row r="144" spans="1:15" ht="27.75" customHeight="1" x14ac:dyDescent="0.2">
      <c r="A144" s="141" t="s">
        <v>266</v>
      </c>
      <c r="B144" s="147" t="s">
        <v>371</v>
      </c>
      <c r="C144" s="235"/>
      <c r="D144" s="235"/>
      <c r="E144" s="235"/>
      <c r="F144" s="235"/>
      <c r="G144" s="235"/>
      <c r="H144" s="23">
        <f t="shared" si="49"/>
        <v>33063066.030000001</v>
      </c>
      <c r="I144" s="119">
        <f t="shared" si="55"/>
        <v>33063066.030000001</v>
      </c>
      <c r="J144" s="119">
        <f t="shared" si="55"/>
        <v>0</v>
      </c>
      <c r="K144" s="119">
        <f t="shared" si="55"/>
        <v>0</v>
      </c>
      <c r="L144" s="3"/>
      <c r="M144" s="93"/>
    </row>
    <row r="145" spans="1:13" ht="27.75" customHeight="1" x14ac:dyDescent="0.2">
      <c r="A145" s="141" t="s">
        <v>265</v>
      </c>
      <c r="B145" s="147" t="s">
        <v>272</v>
      </c>
      <c r="C145" s="235"/>
      <c r="D145" s="235"/>
      <c r="E145" s="235"/>
      <c r="F145" s="235"/>
      <c r="G145" s="235"/>
      <c r="H145" s="23">
        <f t="shared" si="49"/>
        <v>1123193.8900000001</v>
      </c>
      <c r="I145" s="119">
        <f t="shared" si="55"/>
        <v>1123193.8900000001</v>
      </c>
      <c r="J145" s="119">
        <f t="shared" si="55"/>
        <v>0</v>
      </c>
      <c r="K145" s="119">
        <f t="shared" si="55"/>
        <v>0</v>
      </c>
      <c r="L145" s="3"/>
      <c r="M145" s="93"/>
    </row>
    <row r="146" spans="1:13" ht="27.75" customHeight="1" x14ac:dyDescent="0.2">
      <c r="A146" s="141" t="s">
        <v>266</v>
      </c>
      <c r="B146" s="147" t="s">
        <v>272</v>
      </c>
      <c r="C146" s="235"/>
      <c r="D146" s="235"/>
      <c r="E146" s="235"/>
      <c r="F146" s="235"/>
      <c r="G146" s="235"/>
      <c r="H146" s="23">
        <f t="shared" si="49"/>
        <v>19852147.699999999</v>
      </c>
      <c r="I146" s="119">
        <f t="shared" si="55"/>
        <v>19852147.699999999</v>
      </c>
      <c r="J146" s="119">
        <f t="shared" si="55"/>
        <v>0</v>
      </c>
      <c r="K146" s="119">
        <f t="shared" si="55"/>
        <v>0</v>
      </c>
      <c r="L146" s="3"/>
      <c r="M146" s="93"/>
    </row>
    <row r="147" spans="1:13" ht="27.75" customHeight="1" x14ac:dyDescent="0.2">
      <c r="A147" s="141" t="s">
        <v>267</v>
      </c>
      <c r="B147" s="147" t="s">
        <v>272</v>
      </c>
      <c r="C147" s="235"/>
      <c r="D147" s="235"/>
      <c r="E147" s="235"/>
      <c r="F147" s="235"/>
      <c r="G147" s="235"/>
      <c r="H147" s="23">
        <f t="shared" si="49"/>
        <v>91344046.599999994</v>
      </c>
      <c r="I147" s="119">
        <f t="shared" si="55"/>
        <v>91344046.599999994</v>
      </c>
      <c r="J147" s="119">
        <f t="shared" si="55"/>
        <v>0</v>
      </c>
      <c r="K147" s="119">
        <f t="shared" si="55"/>
        <v>0</v>
      </c>
      <c r="L147" s="3"/>
      <c r="M147" s="93"/>
    </row>
    <row r="148" spans="1:13" ht="27.75" customHeight="1" x14ac:dyDescent="0.2">
      <c r="A148" s="141" t="s">
        <v>145</v>
      </c>
      <c r="B148" s="147" t="s">
        <v>192</v>
      </c>
      <c r="C148" s="235"/>
      <c r="D148" s="235"/>
      <c r="E148" s="235"/>
      <c r="F148" s="235"/>
      <c r="G148" s="235"/>
      <c r="H148" s="23">
        <f t="shared" si="49"/>
        <v>1852511.85</v>
      </c>
      <c r="I148" s="119">
        <f t="shared" si="55"/>
        <v>1852511.85</v>
      </c>
      <c r="J148" s="119">
        <f t="shared" si="55"/>
        <v>0</v>
      </c>
      <c r="K148" s="119">
        <f t="shared" si="55"/>
        <v>0</v>
      </c>
      <c r="L148" s="3"/>
      <c r="M148" s="93"/>
    </row>
    <row r="149" spans="1:13" ht="27.75" customHeight="1" x14ac:dyDescent="0.2">
      <c r="A149" s="141" t="s">
        <v>146</v>
      </c>
      <c r="B149" s="147" t="s">
        <v>192</v>
      </c>
      <c r="C149" s="235"/>
      <c r="D149" s="235"/>
      <c r="E149" s="235"/>
      <c r="F149" s="235"/>
      <c r="G149" s="235"/>
      <c r="H149" s="23">
        <f t="shared" si="49"/>
        <v>183398672.81999999</v>
      </c>
      <c r="I149" s="119">
        <f t="shared" si="55"/>
        <v>183398672.81999999</v>
      </c>
      <c r="J149" s="119">
        <f t="shared" si="55"/>
        <v>0</v>
      </c>
      <c r="K149" s="119">
        <f t="shared" si="55"/>
        <v>0</v>
      </c>
      <c r="L149" s="3"/>
      <c r="M149" s="93"/>
    </row>
    <row r="150" spans="1:13" ht="27.75" customHeight="1" x14ac:dyDescent="0.2">
      <c r="A150" s="80" t="s">
        <v>150</v>
      </c>
      <c r="B150" s="76" t="s">
        <v>193</v>
      </c>
      <c r="C150" s="235"/>
      <c r="D150" s="235"/>
      <c r="E150" s="235"/>
      <c r="F150" s="235"/>
      <c r="G150" s="235"/>
      <c r="H150" s="23">
        <f t="shared" si="49"/>
        <v>505050.51</v>
      </c>
      <c r="I150" s="119">
        <f t="shared" si="55"/>
        <v>0</v>
      </c>
      <c r="J150" s="119">
        <f t="shared" si="55"/>
        <v>0</v>
      </c>
      <c r="K150" s="119">
        <f t="shared" si="55"/>
        <v>505050.51</v>
      </c>
      <c r="L150" s="3"/>
      <c r="M150" s="93"/>
    </row>
    <row r="151" spans="1:13" ht="27.75" customHeight="1" x14ac:dyDescent="0.2">
      <c r="A151" s="80" t="s">
        <v>151</v>
      </c>
      <c r="B151" s="76" t="s">
        <v>194</v>
      </c>
      <c r="C151" s="235"/>
      <c r="D151" s="235"/>
      <c r="E151" s="235"/>
      <c r="F151" s="235"/>
      <c r="G151" s="235"/>
      <c r="H151" s="23">
        <f t="shared" si="49"/>
        <v>50000000</v>
      </c>
      <c r="I151" s="119">
        <f t="shared" si="55"/>
        <v>0</v>
      </c>
      <c r="J151" s="119">
        <f t="shared" si="55"/>
        <v>0</v>
      </c>
      <c r="K151" s="119">
        <f t="shared" si="55"/>
        <v>50000000</v>
      </c>
      <c r="L151" s="3"/>
      <c r="M151" s="93"/>
    </row>
    <row r="152" spans="1:13" ht="27.75" customHeight="1" x14ac:dyDescent="0.2">
      <c r="A152" s="141" t="s">
        <v>392</v>
      </c>
      <c r="B152" s="147" t="s">
        <v>398</v>
      </c>
      <c r="C152" s="235"/>
      <c r="D152" s="235"/>
      <c r="E152" s="235"/>
      <c r="F152" s="235"/>
      <c r="G152" s="235"/>
      <c r="H152" s="23">
        <f t="shared" si="49"/>
        <v>5979992.3200000003</v>
      </c>
      <c r="I152" s="119">
        <f t="shared" si="55"/>
        <v>5979992.3200000003</v>
      </c>
      <c r="J152" s="119">
        <f t="shared" si="55"/>
        <v>0</v>
      </c>
      <c r="K152" s="119">
        <f t="shared" si="55"/>
        <v>0</v>
      </c>
      <c r="L152" s="3"/>
      <c r="M152" s="93"/>
    </row>
    <row r="153" spans="1:13" ht="27.75" customHeight="1" x14ac:dyDescent="0.2">
      <c r="A153" s="141" t="s">
        <v>395</v>
      </c>
      <c r="B153" s="147" t="s">
        <v>399</v>
      </c>
      <c r="C153" s="235"/>
      <c r="D153" s="235"/>
      <c r="E153" s="235"/>
      <c r="F153" s="235"/>
      <c r="G153" s="235"/>
      <c r="H153" s="23">
        <f t="shared" si="49"/>
        <v>592019240</v>
      </c>
      <c r="I153" s="119">
        <f t="shared" si="55"/>
        <v>592019240</v>
      </c>
      <c r="J153" s="119">
        <f t="shared" si="55"/>
        <v>0</v>
      </c>
      <c r="K153" s="119">
        <f t="shared" si="55"/>
        <v>0</v>
      </c>
      <c r="L153" s="3"/>
      <c r="M153" s="93"/>
    </row>
    <row r="154" spans="1:13" ht="27.75" customHeight="1" x14ac:dyDescent="0.2">
      <c r="A154" s="141" t="s">
        <v>322</v>
      </c>
      <c r="B154" s="147" t="s">
        <v>323</v>
      </c>
      <c r="C154" s="235"/>
      <c r="D154" s="235"/>
      <c r="E154" s="235"/>
      <c r="F154" s="235"/>
      <c r="G154" s="235"/>
      <c r="H154" s="23">
        <f t="shared" si="49"/>
        <v>1993404.82</v>
      </c>
      <c r="I154" s="119">
        <f t="shared" ref="I154:K158" si="56">I134</f>
        <v>1993404.82</v>
      </c>
      <c r="J154" s="119">
        <f t="shared" si="56"/>
        <v>0</v>
      </c>
      <c r="K154" s="119">
        <f t="shared" si="56"/>
        <v>0</v>
      </c>
      <c r="L154" s="3"/>
      <c r="M154" s="93"/>
    </row>
    <row r="155" spans="1:13" ht="27.75" customHeight="1" x14ac:dyDescent="0.2">
      <c r="A155" s="141" t="s">
        <v>324</v>
      </c>
      <c r="B155" s="147" t="s">
        <v>325</v>
      </c>
      <c r="C155" s="235"/>
      <c r="D155" s="235"/>
      <c r="E155" s="235"/>
      <c r="F155" s="235"/>
      <c r="G155" s="235"/>
      <c r="H155" s="23">
        <f t="shared" si="49"/>
        <v>25805572.579999998</v>
      </c>
      <c r="I155" s="119">
        <f t="shared" si="56"/>
        <v>25805572.579999998</v>
      </c>
      <c r="J155" s="119">
        <f t="shared" si="56"/>
        <v>0</v>
      </c>
      <c r="K155" s="119">
        <f t="shared" si="56"/>
        <v>0</v>
      </c>
      <c r="L155" s="3"/>
      <c r="M155" s="93"/>
    </row>
    <row r="156" spans="1:13" ht="38.25" x14ac:dyDescent="0.2">
      <c r="A156" s="141" t="s">
        <v>331</v>
      </c>
      <c r="B156" s="147" t="s">
        <v>326</v>
      </c>
      <c r="C156" s="235"/>
      <c r="D156" s="235"/>
      <c r="E156" s="235"/>
      <c r="F156" s="235"/>
      <c r="G156" s="235"/>
      <c r="H156" s="23">
        <f t="shared" si="49"/>
        <v>159298162.60999998</v>
      </c>
      <c r="I156" s="119">
        <f t="shared" si="56"/>
        <v>159298162.60999998</v>
      </c>
      <c r="J156" s="119">
        <f t="shared" si="56"/>
        <v>0</v>
      </c>
      <c r="K156" s="119">
        <f t="shared" si="56"/>
        <v>0</v>
      </c>
      <c r="L156" s="3"/>
      <c r="M156" s="93"/>
    </row>
    <row r="157" spans="1:13" ht="27.75" customHeight="1" x14ac:dyDescent="0.2">
      <c r="A157" s="142" t="s">
        <v>329</v>
      </c>
      <c r="B157" s="147" t="s">
        <v>330</v>
      </c>
      <c r="C157" s="235"/>
      <c r="D157" s="235"/>
      <c r="E157" s="235"/>
      <c r="F157" s="235"/>
      <c r="G157" s="235"/>
      <c r="H157" s="23">
        <f t="shared" si="49"/>
        <v>12626820</v>
      </c>
      <c r="I157" s="119">
        <f t="shared" si="56"/>
        <v>12626820</v>
      </c>
      <c r="J157" s="119">
        <f t="shared" si="56"/>
        <v>0</v>
      </c>
      <c r="K157" s="119">
        <f t="shared" si="56"/>
        <v>0</v>
      </c>
      <c r="L157" s="3"/>
      <c r="M157" s="93"/>
    </row>
    <row r="158" spans="1:13" ht="27.75" customHeight="1" x14ac:dyDescent="0.2">
      <c r="A158" s="142" t="s">
        <v>22</v>
      </c>
      <c r="B158" s="203" t="s">
        <v>93</v>
      </c>
      <c r="C158" s="235"/>
      <c r="D158" s="235"/>
      <c r="E158" s="235"/>
      <c r="F158" s="235"/>
      <c r="G158" s="235"/>
      <c r="H158" s="23">
        <f t="shared" si="49"/>
        <v>20953596.830000002</v>
      </c>
      <c r="I158" s="119">
        <f t="shared" si="56"/>
        <v>20953596.830000002</v>
      </c>
      <c r="J158" s="119">
        <f t="shared" si="56"/>
        <v>0</v>
      </c>
      <c r="K158" s="119">
        <f t="shared" si="56"/>
        <v>0</v>
      </c>
      <c r="L158" s="3"/>
      <c r="M158" s="93"/>
    </row>
    <row r="159" spans="1:13" ht="27.75" customHeight="1" x14ac:dyDescent="0.2">
      <c r="A159" s="141" t="s">
        <v>297</v>
      </c>
      <c r="B159" s="147" t="s">
        <v>315</v>
      </c>
      <c r="C159" s="235"/>
      <c r="D159" s="235"/>
      <c r="E159" s="235"/>
      <c r="F159" s="235"/>
      <c r="G159" s="235"/>
      <c r="H159" s="23">
        <f t="shared" si="49"/>
        <v>1609577.58</v>
      </c>
      <c r="I159" s="119">
        <f t="shared" ref="I159:K168" si="57">I98</f>
        <v>1609577.58</v>
      </c>
      <c r="J159" s="119">
        <f t="shared" si="57"/>
        <v>0</v>
      </c>
      <c r="K159" s="119">
        <f t="shared" si="57"/>
        <v>0</v>
      </c>
      <c r="L159" s="3"/>
      <c r="M159" s="93"/>
    </row>
    <row r="160" spans="1:13" ht="27.75" customHeight="1" x14ac:dyDescent="0.2">
      <c r="A160" s="141" t="s">
        <v>343</v>
      </c>
      <c r="B160" s="147" t="s">
        <v>315</v>
      </c>
      <c r="C160" s="235"/>
      <c r="D160" s="235"/>
      <c r="E160" s="235"/>
      <c r="F160" s="235"/>
      <c r="G160" s="235"/>
      <c r="H160" s="23">
        <f t="shared" si="49"/>
        <v>30581973.949999999</v>
      </c>
      <c r="I160" s="119">
        <f t="shared" si="57"/>
        <v>30581973.949999999</v>
      </c>
      <c r="J160" s="119">
        <f t="shared" si="57"/>
        <v>0</v>
      </c>
      <c r="K160" s="119">
        <f t="shared" si="57"/>
        <v>0</v>
      </c>
      <c r="L160" s="3"/>
      <c r="M160" s="93"/>
    </row>
    <row r="161" spans="1:15" ht="27.75" customHeight="1" x14ac:dyDescent="0.2">
      <c r="A161" s="142" t="s">
        <v>297</v>
      </c>
      <c r="B161" s="203" t="s">
        <v>317</v>
      </c>
      <c r="C161" s="235"/>
      <c r="D161" s="235"/>
      <c r="E161" s="235"/>
      <c r="F161" s="235"/>
      <c r="G161" s="235"/>
      <c r="H161" s="23">
        <f t="shared" si="49"/>
        <v>2549534.5</v>
      </c>
      <c r="I161" s="119">
        <f t="shared" si="57"/>
        <v>2549534.5</v>
      </c>
      <c r="J161" s="119">
        <f t="shared" si="57"/>
        <v>0</v>
      </c>
      <c r="K161" s="119">
        <f t="shared" si="57"/>
        <v>0</v>
      </c>
      <c r="L161" s="3"/>
      <c r="M161" s="93"/>
    </row>
    <row r="162" spans="1:15" ht="27.75" customHeight="1" x14ac:dyDescent="0.2">
      <c r="A162" s="141" t="s">
        <v>343</v>
      </c>
      <c r="B162" s="147" t="s">
        <v>348</v>
      </c>
      <c r="C162" s="235"/>
      <c r="D162" s="235"/>
      <c r="E162" s="235"/>
      <c r="F162" s="235"/>
      <c r="G162" s="235"/>
      <c r="H162" s="23">
        <f t="shared" si="49"/>
        <v>48441155.5</v>
      </c>
      <c r="I162" s="119">
        <f t="shared" si="57"/>
        <v>48441155.5</v>
      </c>
      <c r="J162" s="119">
        <f t="shared" si="57"/>
        <v>0</v>
      </c>
      <c r="K162" s="119">
        <f t="shared" si="57"/>
        <v>0</v>
      </c>
      <c r="L162" s="3"/>
      <c r="M162" s="93"/>
    </row>
    <row r="163" spans="1:15" ht="27.75" customHeight="1" x14ac:dyDescent="0.2">
      <c r="A163" s="142" t="s">
        <v>297</v>
      </c>
      <c r="B163" s="203" t="s">
        <v>299</v>
      </c>
      <c r="C163" s="235"/>
      <c r="D163" s="235"/>
      <c r="E163" s="235"/>
      <c r="F163" s="235"/>
      <c r="G163" s="235"/>
      <c r="H163" s="23">
        <f t="shared" si="49"/>
        <v>601413.87999999989</v>
      </c>
      <c r="I163" s="119">
        <f t="shared" si="57"/>
        <v>601413.87999999989</v>
      </c>
      <c r="J163" s="119">
        <f t="shared" si="57"/>
        <v>0</v>
      </c>
      <c r="K163" s="119">
        <f t="shared" si="57"/>
        <v>0</v>
      </c>
      <c r="L163" s="3"/>
      <c r="M163" s="93"/>
    </row>
    <row r="164" spans="1:15" ht="27.75" customHeight="1" x14ac:dyDescent="0.2">
      <c r="A164" s="141" t="s">
        <v>343</v>
      </c>
      <c r="B164" s="147" t="s">
        <v>299</v>
      </c>
      <c r="C164" s="235"/>
      <c r="D164" s="235"/>
      <c r="E164" s="235"/>
      <c r="F164" s="235"/>
      <c r="G164" s="235"/>
      <c r="H164" s="23">
        <f t="shared" si="49"/>
        <v>11426863.74</v>
      </c>
      <c r="I164" s="119">
        <f t="shared" si="57"/>
        <v>11426863.74</v>
      </c>
      <c r="J164" s="119">
        <f t="shared" si="57"/>
        <v>0</v>
      </c>
      <c r="K164" s="119">
        <f t="shared" si="57"/>
        <v>0</v>
      </c>
      <c r="L164" s="3"/>
      <c r="M164" s="93"/>
    </row>
    <row r="165" spans="1:15" ht="27.75" customHeight="1" x14ac:dyDescent="0.2">
      <c r="A165" s="141" t="s">
        <v>297</v>
      </c>
      <c r="B165" s="147" t="s">
        <v>301</v>
      </c>
      <c r="C165" s="235"/>
      <c r="D165" s="235"/>
      <c r="E165" s="235"/>
      <c r="F165" s="235"/>
      <c r="G165" s="235"/>
      <c r="H165" s="23">
        <f t="shared" si="49"/>
        <v>2202384.46</v>
      </c>
      <c r="I165" s="119">
        <f t="shared" si="57"/>
        <v>2202384.46</v>
      </c>
      <c r="J165" s="119">
        <f t="shared" si="57"/>
        <v>0</v>
      </c>
      <c r="K165" s="119">
        <f t="shared" si="57"/>
        <v>0</v>
      </c>
      <c r="L165" s="3"/>
      <c r="M165" s="93"/>
    </row>
    <row r="166" spans="1:15" ht="27.75" customHeight="1" x14ac:dyDescent="0.2">
      <c r="A166" s="141" t="s">
        <v>343</v>
      </c>
      <c r="B166" s="147" t="s">
        <v>349</v>
      </c>
      <c r="C166" s="235"/>
      <c r="D166" s="235"/>
      <c r="E166" s="235"/>
      <c r="F166" s="235"/>
      <c r="G166" s="235"/>
      <c r="H166" s="23">
        <f t="shared" si="49"/>
        <v>41845304.659999996</v>
      </c>
      <c r="I166" s="119">
        <f t="shared" si="57"/>
        <v>41845304.659999996</v>
      </c>
      <c r="J166" s="119">
        <f t="shared" si="57"/>
        <v>0</v>
      </c>
      <c r="K166" s="119">
        <f t="shared" si="57"/>
        <v>0</v>
      </c>
      <c r="L166" s="3"/>
      <c r="M166" s="93"/>
    </row>
    <row r="167" spans="1:15" ht="27.75" customHeight="1" x14ac:dyDescent="0.2">
      <c r="A167" s="141" t="s">
        <v>318</v>
      </c>
      <c r="B167" s="147" t="s">
        <v>374</v>
      </c>
      <c r="C167" s="235"/>
      <c r="D167" s="235"/>
      <c r="E167" s="235"/>
      <c r="F167" s="235"/>
      <c r="G167" s="235"/>
      <c r="H167" s="23">
        <f t="shared" si="49"/>
        <v>2014093.1</v>
      </c>
      <c r="I167" s="119">
        <f t="shared" si="57"/>
        <v>2014093.1</v>
      </c>
      <c r="J167" s="119">
        <f t="shared" si="57"/>
        <v>0</v>
      </c>
      <c r="K167" s="119">
        <f t="shared" si="57"/>
        <v>0</v>
      </c>
      <c r="L167" s="3"/>
      <c r="M167" s="93"/>
    </row>
    <row r="168" spans="1:15" ht="27.75" customHeight="1" x14ac:dyDescent="0.2">
      <c r="A168" s="141" t="s">
        <v>303</v>
      </c>
      <c r="B168" s="147" t="s">
        <v>375</v>
      </c>
      <c r="C168" s="235"/>
      <c r="D168" s="235"/>
      <c r="E168" s="235"/>
      <c r="F168" s="235"/>
      <c r="G168" s="235"/>
      <c r="H168" s="23">
        <f t="shared" si="49"/>
        <v>38267768.880000003</v>
      </c>
      <c r="I168" s="119">
        <f t="shared" si="57"/>
        <v>38267768.880000003</v>
      </c>
      <c r="J168" s="119">
        <f t="shared" si="57"/>
        <v>0</v>
      </c>
      <c r="K168" s="119">
        <f t="shared" si="57"/>
        <v>0</v>
      </c>
      <c r="L168" s="3"/>
      <c r="M168" s="93"/>
    </row>
    <row r="169" spans="1:15" ht="27.75" customHeight="1" x14ac:dyDescent="0.2">
      <c r="A169" s="141" t="s">
        <v>350</v>
      </c>
      <c r="B169" s="147" t="s">
        <v>340</v>
      </c>
      <c r="C169" s="235"/>
      <c r="D169" s="235"/>
      <c r="E169" s="235"/>
      <c r="F169" s="235"/>
      <c r="G169" s="235"/>
      <c r="H169" s="23">
        <f t="shared" si="49"/>
        <v>850000</v>
      </c>
      <c r="I169" s="119">
        <f t="shared" ref="I169:K173" si="58">I67</f>
        <v>850000</v>
      </c>
      <c r="J169" s="119">
        <f t="shared" si="58"/>
        <v>0</v>
      </c>
      <c r="K169" s="119">
        <f t="shared" si="58"/>
        <v>0</v>
      </c>
      <c r="L169" s="3"/>
      <c r="M169" s="93"/>
    </row>
    <row r="170" spans="1:15" ht="27.75" customHeight="1" x14ac:dyDescent="0.2">
      <c r="A170" s="142" t="s">
        <v>234</v>
      </c>
      <c r="B170" s="203" t="s">
        <v>237</v>
      </c>
      <c r="C170" s="235"/>
      <c r="D170" s="235"/>
      <c r="E170" s="235"/>
      <c r="F170" s="235"/>
      <c r="G170" s="235"/>
      <c r="H170" s="23">
        <f t="shared" si="49"/>
        <v>255000000</v>
      </c>
      <c r="I170" s="119">
        <f t="shared" si="58"/>
        <v>255000000</v>
      </c>
      <c r="J170" s="119">
        <f t="shared" si="58"/>
        <v>0</v>
      </c>
      <c r="K170" s="119">
        <f t="shared" si="58"/>
        <v>0</v>
      </c>
      <c r="L170" s="3"/>
      <c r="M170" s="93"/>
    </row>
    <row r="171" spans="1:15" ht="27.75" customHeight="1" x14ac:dyDescent="0.2">
      <c r="A171" s="142" t="s">
        <v>339</v>
      </c>
      <c r="B171" s="203" t="s">
        <v>340</v>
      </c>
      <c r="C171" s="235"/>
      <c r="D171" s="235"/>
      <c r="E171" s="235"/>
      <c r="F171" s="235"/>
      <c r="G171" s="235"/>
      <c r="H171" s="23">
        <f t="shared" si="49"/>
        <v>3353000</v>
      </c>
      <c r="I171" s="119">
        <f t="shared" si="58"/>
        <v>3353000</v>
      </c>
      <c r="J171" s="119">
        <f t="shared" si="58"/>
        <v>0</v>
      </c>
      <c r="K171" s="119">
        <f t="shared" si="58"/>
        <v>0</v>
      </c>
      <c r="L171" s="3"/>
      <c r="M171" s="93"/>
    </row>
    <row r="172" spans="1:15" ht="29.25" customHeight="1" x14ac:dyDescent="0.2">
      <c r="A172" s="142" t="s">
        <v>232</v>
      </c>
      <c r="B172" s="209" t="s">
        <v>197</v>
      </c>
      <c r="C172" s="32"/>
      <c r="D172" s="32"/>
      <c r="E172" s="32"/>
      <c r="F172" s="32"/>
      <c r="G172" s="32"/>
      <c r="H172" s="23">
        <f t="shared" si="49"/>
        <v>77029173.159999996</v>
      </c>
      <c r="I172" s="23">
        <f t="shared" si="58"/>
        <v>77029173.159999996</v>
      </c>
      <c r="J172" s="23">
        <f t="shared" si="58"/>
        <v>0</v>
      </c>
      <c r="K172" s="23">
        <f t="shared" si="58"/>
        <v>0</v>
      </c>
      <c r="M172" s="83"/>
    </row>
    <row r="173" spans="1:15" ht="30.75" customHeight="1" thickBot="1" x14ac:dyDescent="0.25">
      <c r="A173" s="143" t="s">
        <v>233</v>
      </c>
      <c r="B173" s="77" t="s">
        <v>198</v>
      </c>
      <c r="C173" s="328"/>
      <c r="D173" s="328"/>
      <c r="E173" s="328"/>
      <c r="F173" s="328"/>
      <c r="G173" s="328"/>
      <c r="H173" s="25">
        <f t="shared" si="49"/>
        <v>1463554290</v>
      </c>
      <c r="I173" s="25">
        <f t="shared" si="58"/>
        <v>1463554290</v>
      </c>
      <c r="J173" s="25">
        <f t="shared" si="58"/>
        <v>0</v>
      </c>
      <c r="K173" s="25">
        <f t="shared" si="58"/>
        <v>0</v>
      </c>
      <c r="M173" s="83"/>
    </row>
    <row r="174" spans="1:15" ht="26.25" customHeight="1" thickBot="1" x14ac:dyDescent="0.25">
      <c r="A174" s="423" t="s">
        <v>38</v>
      </c>
      <c r="B174" s="423"/>
      <c r="C174" s="423"/>
      <c r="D174" s="423"/>
      <c r="E174" s="423"/>
      <c r="F174" s="423"/>
      <c r="G174" s="423"/>
      <c r="H174" s="423"/>
      <c r="I174" s="423"/>
      <c r="J174" s="423"/>
      <c r="K174" s="423"/>
    </row>
    <row r="175" spans="1:15" ht="28.5" customHeight="1" thickBot="1" x14ac:dyDescent="0.25">
      <c r="A175" s="422" t="s">
        <v>42</v>
      </c>
      <c r="B175" s="422"/>
      <c r="C175" s="422"/>
      <c r="D175" s="422"/>
      <c r="E175" s="422"/>
      <c r="F175" s="422"/>
      <c r="G175" s="422"/>
      <c r="H175" s="422"/>
      <c r="I175" s="422"/>
      <c r="J175" s="422"/>
      <c r="K175" s="422"/>
    </row>
    <row r="176" spans="1:15" ht="44.25" customHeight="1" thickBot="1" x14ac:dyDescent="0.25">
      <c r="A176" s="10" t="s">
        <v>29</v>
      </c>
      <c r="B176" s="122"/>
      <c r="C176" s="38"/>
      <c r="D176" s="38"/>
      <c r="E176" s="39"/>
      <c r="F176" s="39"/>
      <c r="G176" s="39"/>
      <c r="H176" s="57">
        <f>I176+J176+K176</f>
        <v>246300729.73000002</v>
      </c>
      <c r="I176" s="57">
        <f>I177+I203</f>
        <v>49481629.719999999</v>
      </c>
      <c r="J176" s="57">
        <f>J177+J203</f>
        <v>117484699.87</v>
      </c>
      <c r="K176" s="57">
        <f>K177+K203</f>
        <v>79334400.140000001</v>
      </c>
      <c r="L176" s="3">
        <f>H177+H203</f>
        <v>246300729.73000002</v>
      </c>
      <c r="O176" s="83"/>
    </row>
    <row r="177" spans="1:16" ht="43.5" customHeight="1" thickBot="1" x14ac:dyDescent="0.25">
      <c r="A177" s="82" t="s">
        <v>18</v>
      </c>
      <c r="B177" s="200"/>
      <c r="C177" s="201"/>
      <c r="D177" s="201"/>
      <c r="E177" s="202"/>
      <c r="F177" s="202"/>
      <c r="G177" s="202"/>
      <c r="H177" s="47">
        <f>I177+J177+K177</f>
        <v>231470183.06</v>
      </c>
      <c r="I177" s="47">
        <f>I178+I183+I186+I194+I199+I190+I196</f>
        <v>34651083.049999997</v>
      </c>
      <c r="J177" s="47">
        <f t="shared" ref="J177:K177" si="59">J178+J183+J186+J194+J199+J190+J196</f>
        <v>117484699.87</v>
      </c>
      <c r="K177" s="47">
        <f t="shared" si="59"/>
        <v>79334400.140000001</v>
      </c>
      <c r="L177" s="3">
        <f>H178+H183+H186+H194+H199+H190+H196</f>
        <v>231470183.05999997</v>
      </c>
      <c r="N177" s="83"/>
      <c r="O177" s="83"/>
    </row>
    <row r="178" spans="1:16" ht="38.25" x14ac:dyDescent="0.2">
      <c r="A178" s="109" t="s">
        <v>94</v>
      </c>
      <c r="B178" s="79" t="s">
        <v>43</v>
      </c>
      <c r="C178" s="31" t="s">
        <v>159</v>
      </c>
      <c r="D178" s="211" t="s">
        <v>23</v>
      </c>
      <c r="E178" s="175">
        <v>51323340.509999998</v>
      </c>
      <c r="F178" s="179">
        <v>41160</v>
      </c>
      <c r="G178" s="175">
        <f>E178-F178</f>
        <v>51282180.509999998</v>
      </c>
      <c r="H178" s="29">
        <f t="shared" ref="H178:H193" si="60">I178+J178+K178</f>
        <v>44394700</v>
      </c>
      <c r="I178" s="29">
        <f>SUM(I179:I181)</f>
        <v>1910000</v>
      </c>
      <c r="J178" s="29">
        <f>SUM(J180:J181)</f>
        <v>42484700</v>
      </c>
      <c r="K178" s="29">
        <f>SUM(K180:K181)</f>
        <v>0</v>
      </c>
      <c r="L178" s="42"/>
      <c r="M178" s="42"/>
      <c r="N178" s="42"/>
      <c r="O178" s="42"/>
      <c r="P178" s="42"/>
    </row>
    <row r="179" spans="1:16" ht="25.5" x14ac:dyDescent="0.2">
      <c r="A179" s="80" t="s">
        <v>22</v>
      </c>
      <c r="B179" s="76" t="s">
        <v>93</v>
      </c>
      <c r="C179" s="41"/>
      <c r="D179" s="325"/>
      <c r="E179" s="192"/>
      <c r="F179" s="173"/>
      <c r="G179" s="192"/>
      <c r="H179" s="292">
        <f t="shared" si="60"/>
        <v>1910000</v>
      </c>
      <c r="I179" s="8">
        <v>1910000</v>
      </c>
      <c r="J179" s="8"/>
      <c r="K179" s="8"/>
      <c r="L179" s="42"/>
      <c r="M179" s="42"/>
      <c r="N179" s="42"/>
      <c r="O179" s="42"/>
      <c r="P179" s="42"/>
    </row>
    <row r="180" spans="1:16" ht="25.5" x14ac:dyDescent="0.2">
      <c r="A180" s="210" t="s">
        <v>173</v>
      </c>
      <c r="B180" s="281" t="s">
        <v>160</v>
      </c>
      <c r="C180" s="284"/>
      <c r="D180" s="285"/>
      <c r="E180" s="273"/>
      <c r="F180" s="280"/>
      <c r="G180" s="273"/>
      <c r="H180" s="292">
        <f t="shared" si="60"/>
        <v>2124235</v>
      </c>
      <c r="I180" s="283"/>
      <c r="J180" s="283">
        <v>2124235</v>
      </c>
      <c r="K180" s="283"/>
      <c r="L180" s="42"/>
      <c r="M180" s="42"/>
      <c r="N180" s="42"/>
      <c r="O180" s="42"/>
      <c r="P180" s="42"/>
    </row>
    <row r="181" spans="1:16" ht="25.5" x14ac:dyDescent="0.2">
      <c r="A181" s="141" t="s">
        <v>174</v>
      </c>
      <c r="B181" s="147" t="s">
        <v>161</v>
      </c>
      <c r="C181" s="41"/>
      <c r="D181" s="11"/>
      <c r="E181" s="262"/>
      <c r="F181" s="149"/>
      <c r="G181" s="267"/>
      <c r="H181" s="8">
        <f t="shared" si="60"/>
        <v>40360465</v>
      </c>
      <c r="I181" s="8"/>
      <c r="J181" s="8">
        <v>40360465</v>
      </c>
      <c r="K181" s="8"/>
      <c r="L181" s="42"/>
      <c r="M181" s="42"/>
      <c r="N181" s="42"/>
      <c r="O181" s="42"/>
      <c r="P181" s="42"/>
    </row>
    <row r="182" spans="1:16" ht="39" thickBot="1" x14ac:dyDescent="0.25">
      <c r="A182" s="15" t="s">
        <v>81</v>
      </c>
      <c r="B182" s="206"/>
      <c r="C182" s="171"/>
      <c r="D182" s="12"/>
      <c r="E182" s="155"/>
      <c r="F182" s="152"/>
      <c r="G182" s="159"/>
      <c r="H182" s="73"/>
      <c r="I182" s="73">
        <v>680720</v>
      </c>
      <c r="J182" s="73"/>
      <c r="K182" s="73"/>
      <c r="L182" s="42"/>
      <c r="M182" s="42"/>
      <c r="N182" s="42"/>
      <c r="O182" s="42"/>
      <c r="P182" s="42"/>
    </row>
    <row r="183" spans="1:16" ht="42.75" customHeight="1" x14ac:dyDescent="0.2">
      <c r="A183" s="109" t="s">
        <v>96</v>
      </c>
      <c r="B183" s="30" t="s">
        <v>43</v>
      </c>
      <c r="C183" s="71" t="s">
        <v>162</v>
      </c>
      <c r="D183" s="213" t="s">
        <v>163</v>
      </c>
      <c r="E183" s="87">
        <v>143594700</v>
      </c>
      <c r="F183" s="68">
        <v>2770660</v>
      </c>
      <c r="G183" s="87">
        <f>E183-F183</f>
        <v>140824040</v>
      </c>
      <c r="H183" s="29">
        <f t="shared" si="60"/>
        <v>90842400.010000005</v>
      </c>
      <c r="I183" s="29">
        <f>SUM(I184:I185)</f>
        <v>0</v>
      </c>
      <c r="J183" s="29">
        <f>SUM(J184:J185)</f>
        <v>44999999.870000005</v>
      </c>
      <c r="K183" s="29">
        <f>SUM(K184:K185)</f>
        <v>45842400.140000001</v>
      </c>
      <c r="L183" s="42"/>
      <c r="M183" s="42"/>
      <c r="N183" s="42"/>
      <c r="O183" s="42"/>
      <c r="P183" s="42"/>
    </row>
    <row r="184" spans="1:16" ht="28.5" customHeight="1" x14ac:dyDescent="0.2">
      <c r="A184" s="219" t="s">
        <v>173</v>
      </c>
      <c r="B184" s="76" t="s">
        <v>164</v>
      </c>
      <c r="C184" s="260"/>
      <c r="D184" s="330"/>
      <c r="E184" s="262"/>
      <c r="F184" s="263"/>
      <c r="G184" s="262"/>
      <c r="H184" s="8">
        <f t="shared" si="60"/>
        <v>4542120</v>
      </c>
      <c r="I184" s="8"/>
      <c r="J184" s="8">
        <v>2249999.9900000002</v>
      </c>
      <c r="K184" s="8">
        <v>2292120.0099999998</v>
      </c>
      <c r="L184" s="42"/>
      <c r="M184" s="42"/>
      <c r="N184" s="42"/>
      <c r="O184" s="42"/>
      <c r="P184" s="42"/>
    </row>
    <row r="185" spans="1:16" ht="30.75" customHeight="1" thickBot="1" x14ac:dyDescent="0.25">
      <c r="A185" s="143" t="s">
        <v>174</v>
      </c>
      <c r="B185" s="206" t="s">
        <v>165</v>
      </c>
      <c r="C185" s="151"/>
      <c r="D185" s="163"/>
      <c r="E185" s="155"/>
      <c r="F185" s="152"/>
      <c r="G185" s="159"/>
      <c r="H185" s="22">
        <f t="shared" si="60"/>
        <v>86300280.010000005</v>
      </c>
      <c r="I185" s="13"/>
      <c r="J185" s="13">
        <v>42749999.880000003</v>
      </c>
      <c r="K185" s="13">
        <v>43550280.130000003</v>
      </c>
      <c r="L185" s="42"/>
      <c r="M185" s="42"/>
      <c r="N185" s="42"/>
      <c r="O185" s="42"/>
      <c r="P185" s="42"/>
    </row>
    <row r="186" spans="1:16" ht="66.75" customHeight="1" x14ac:dyDescent="0.2">
      <c r="A186" s="109" t="s">
        <v>97</v>
      </c>
      <c r="B186" s="30" t="s">
        <v>43</v>
      </c>
      <c r="C186" s="71" t="s">
        <v>166</v>
      </c>
      <c r="D186" s="213" t="s">
        <v>163</v>
      </c>
      <c r="E186" s="175">
        <v>92175197.790000007</v>
      </c>
      <c r="F186" s="68">
        <v>35000</v>
      </c>
      <c r="G186" s="175">
        <f>E186-F186</f>
        <v>92140197.790000007</v>
      </c>
      <c r="H186" s="29">
        <f t="shared" si="60"/>
        <v>66344333.329999998</v>
      </c>
      <c r="I186" s="29">
        <f>SUM(I187:I189)</f>
        <v>2852333.33</v>
      </c>
      <c r="J186" s="29">
        <f>SUM(J188:J189)</f>
        <v>30000000</v>
      </c>
      <c r="K186" s="29">
        <f>SUM(K188:K189)</f>
        <v>33492000</v>
      </c>
      <c r="L186" s="42"/>
      <c r="M186" s="42"/>
      <c r="N186" s="42"/>
      <c r="O186" s="42"/>
      <c r="P186" s="42"/>
    </row>
    <row r="187" spans="1:16" ht="29.25" customHeight="1" x14ac:dyDescent="0.2">
      <c r="A187" s="80" t="s">
        <v>22</v>
      </c>
      <c r="B187" s="76" t="s">
        <v>93</v>
      </c>
      <c r="C187" s="121"/>
      <c r="D187" s="334"/>
      <c r="E187" s="146"/>
      <c r="F187" s="78"/>
      <c r="G187" s="146"/>
      <c r="H187" s="8">
        <f t="shared" si="60"/>
        <v>2852333.33</v>
      </c>
      <c r="I187" s="292">
        <v>2852333.33</v>
      </c>
      <c r="J187" s="292"/>
      <c r="K187" s="292"/>
      <c r="L187" s="42"/>
      <c r="M187" s="42"/>
      <c r="N187" s="42"/>
      <c r="O187" s="42"/>
      <c r="P187" s="42"/>
    </row>
    <row r="188" spans="1:16" ht="29.25" customHeight="1" x14ac:dyDescent="0.2">
      <c r="A188" s="219" t="s">
        <v>173</v>
      </c>
      <c r="B188" s="76" t="s">
        <v>167</v>
      </c>
      <c r="C188" s="260"/>
      <c r="D188" s="330"/>
      <c r="E188" s="262"/>
      <c r="F188" s="263"/>
      <c r="G188" s="262"/>
      <c r="H188" s="8">
        <f t="shared" si="60"/>
        <v>3174600</v>
      </c>
      <c r="I188" s="8"/>
      <c r="J188" s="8">
        <v>1500000</v>
      </c>
      <c r="K188" s="8">
        <v>1674600</v>
      </c>
      <c r="L188" s="42"/>
      <c r="M188" s="42"/>
      <c r="N188" s="42"/>
      <c r="O188" s="42"/>
      <c r="P188" s="42"/>
    </row>
    <row r="189" spans="1:16" ht="30" customHeight="1" thickBot="1" x14ac:dyDescent="0.25">
      <c r="A189" s="143" t="s">
        <v>174</v>
      </c>
      <c r="B189" s="206" t="s">
        <v>168</v>
      </c>
      <c r="C189" s="151"/>
      <c r="D189" s="163"/>
      <c r="E189" s="155"/>
      <c r="F189" s="152"/>
      <c r="G189" s="159"/>
      <c r="H189" s="22">
        <f t="shared" si="60"/>
        <v>60317400</v>
      </c>
      <c r="I189" s="13"/>
      <c r="J189" s="13">
        <v>28500000</v>
      </c>
      <c r="K189" s="13">
        <v>31817400</v>
      </c>
      <c r="L189" s="42"/>
      <c r="M189" s="42"/>
      <c r="N189" s="42"/>
      <c r="O189" s="42"/>
      <c r="P189" s="42"/>
    </row>
    <row r="190" spans="1:16" ht="42" customHeight="1" x14ac:dyDescent="0.2">
      <c r="A190" s="75" t="s">
        <v>290</v>
      </c>
      <c r="B190" s="36" t="s">
        <v>43</v>
      </c>
      <c r="C190" s="71" t="s">
        <v>291</v>
      </c>
      <c r="D190" s="213" t="s">
        <v>23</v>
      </c>
      <c r="E190" s="175">
        <v>20466724.800000001</v>
      </c>
      <c r="F190" s="179">
        <v>18563214.359999999</v>
      </c>
      <c r="G190" s="175">
        <f>E190-F190</f>
        <v>1903510.4400000013</v>
      </c>
      <c r="H190" s="29">
        <f t="shared" si="60"/>
        <v>1903510.4400000002</v>
      </c>
      <c r="I190" s="29">
        <f>SUM(I191:I193)</f>
        <v>1903510.4400000002</v>
      </c>
      <c r="J190" s="29">
        <f>SUM(J191)</f>
        <v>0</v>
      </c>
      <c r="K190" s="29">
        <f>SUM(K191)</f>
        <v>0</v>
      </c>
      <c r="L190" s="42"/>
      <c r="M190" s="42"/>
      <c r="N190" s="42"/>
      <c r="O190" s="42"/>
      <c r="P190" s="42"/>
    </row>
    <row r="191" spans="1:16" ht="30" customHeight="1" x14ac:dyDescent="0.2">
      <c r="A191" s="141" t="s">
        <v>292</v>
      </c>
      <c r="B191" s="147" t="s">
        <v>353</v>
      </c>
      <c r="C191" s="369"/>
      <c r="D191" s="162"/>
      <c r="E191" s="262"/>
      <c r="F191" s="149"/>
      <c r="G191" s="267"/>
      <c r="H191" s="8">
        <f t="shared" si="60"/>
        <v>79494.240000000005</v>
      </c>
      <c r="I191" s="8">
        <f>79494.24</f>
        <v>79494.240000000005</v>
      </c>
      <c r="J191" s="8"/>
      <c r="K191" s="8"/>
      <c r="L191" s="42"/>
      <c r="M191" s="42"/>
      <c r="N191" s="42"/>
      <c r="O191" s="42"/>
      <c r="P191" s="42"/>
    </row>
    <row r="192" spans="1:16" ht="30" customHeight="1" x14ac:dyDescent="0.2">
      <c r="A192" s="141" t="s">
        <v>292</v>
      </c>
      <c r="B192" s="147" t="s">
        <v>376</v>
      </c>
      <c r="C192" s="390"/>
      <c r="D192" s="295"/>
      <c r="E192" s="391"/>
      <c r="F192" s="276"/>
      <c r="G192" s="392"/>
      <c r="H192" s="8">
        <f t="shared" si="60"/>
        <v>313625.59000000003</v>
      </c>
      <c r="I192" s="14">
        <v>313625.59000000003</v>
      </c>
      <c r="J192" s="14"/>
      <c r="K192" s="14"/>
      <c r="L192" s="42"/>
      <c r="M192" s="42"/>
      <c r="N192" s="42"/>
      <c r="O192" s="42"/>
      <c r="P192" s="42"/>
    </row>
    <row r="193" spans="1:18" ht="30" customHeight="1" thickBot="1" x14ac:dyDescent="0.25">
      <c r="A193" s="143" t="s">
        <v>351</v>
      </c>
      <c r="B193" s="206" t="s">
        <v>352</v>
      </c>
      <c r="C193" s="151"/>
      <c r="D193" s="163"/>
      <c r="E193" s="155"/>
      <c r="F193" s="152"/>
      <c r="G193" s="159"/>
      <c r="H193" s="13">
        <f t="shared" si="60"/>
        <v>1510390.61</v>
      </c>
      <c r="I193" s="13">
        <v>1510390.61</v>
      </c>
      <c r="J193" s="13"/>
      <c r="K193" s="13"/>
      <c r="L193" s="42"/>
      <c r="M193" s="42"/>
      <c r="N193" s="42"/>
      <c r="O193" s="42"/>
      <c r="P193" s="42"/>
    </row>
    <row r="194" spans="1:18" ht="63.75" x14ac:dyDescent="0.2">
      <c r="A194" s="167" t="s">
        <v>140</v>
      </c>
      <c r="B194" s="172" t="s">
        <v>47</v>
      </c>
      <c r="C194" s="190" t="s">
        <v>91</v>
      </c>
      <c r="D194" s="351" t="s">
        <v>135</v>
      </c>
      <c r="E194" s="175">
        <v>7912761.7199999997</v>
      </c>
      <c r="F194" s="179">
        <v>468102</v>
      </c>
      <c r="G194" s="175">
        <f>E194-F194</f>
        <v>7444659.7199999997</v>
      </c>
      <c r="H194" s="29">
        <f t="shared" ref="H194:H198" si="61">I194+J194+K194</f>
        <v>1101500</v>
      </c>
      <c r="I194" s="29">
        <f>SUM(I195)</f>
        <v>1101500</v>
      </c>
      <c r="J194" s="29">
        <f>SUM(J195)</f>
        <v>0</v>
      </c>
      <c r="K194" s="29">
        <f>SUM(K195)</f>
        <v>0</v>
      </c>
      <c r="L194" s="42"/>
      <c r="M194" s="42"/>
      <c r="N194" s="42"/>
      <c r="O194" s="42"/>
      <c r="P194" s="42"/>
    </row>
    <row r="195" spans="1:18" ht="32.25" customHeight="1" thickBot="1" x14ac:dyDescent="0.25">
      <c r="A195" s="143" t="s">
        <v>22</v>
      </c>
      <c r="B195" s="206" t="s">
        <v>93</v>
      </c>
      <c r="C195" s="197"/>
      <c r="D195" s="396"/>
      <c r="E195" s="397"/>
      <c r="F195" s="265"/>
      <c r="G195" s="156"/>
      <c r="H195" s="22">
        <f t="shared" si="61"/>
        <v>1101500</v>
      </c>
      <c r="I195" s="22">
        <f>1092000+9500</f>
        <v>1101500</v>
      </c>
      <c r="J195" s="22"/>
      <c r="K195" s="22"/>
      <c r="L195" s="42"/>
      <c r="M195" s="42"/>
      <c r="N195" s="395"/>
      <c r="O195" s="42"/>
      <c r="P195" s="42"/>
    </row>
    <row r="196" spans="1:18" ht="81" customHeight="1" x14ac:dyDescent="0.2">
      <c r="A196" s="167" t="s">
        <v>274</v>
      </c>
      <c r="B196" s="79" t="s">
        <v>47</v>
      </c>
      <c r="C196" s="71" t="s">
        <v>275</v>
      </c>
      <c r="D196" s="213" t="s">
        <v>279</v>
      </c>
      <c r="E196" s="175" t="s">
        <v>276</v>
      </c>
      <c r="F196" s="179">
        <v>341110.44</v>
      </c>
      <c r="G196" s="175" t="s">
        <v>277</v>
      </c>
      <c r="H196" s="29">
        <f t="shared" si="61"/>
        <v>2385265</v>
      </c>
      <c r="I196" s="29">
        <f>SUM(I197)</f>
        <v>2385265</v>
      </c>
      <c r="J196" s="29">
        <f t="shared" ref="J196:K196" si="62">SUM(J197)</f>
        <v>0</v>
      </c>
      <c r="K196" s="29">
        <f t="shared" si="62"/>
        <v>0</v>
      </c>
      <c r="L196" s="43"/>
      <c r="M196" s="42"/>
      <c r="N196" s="43"/>
      <c r="O196" s="43"/>
      <c r="P196" s="43"/>
      <c r="Q196" s="43"/>
      <c r="R196" s="43"/>
    </row>
    <row r="197" spans="1:18" ht="30" customHeight="1" thickBot="1" x14ac:dyDescent="0.25">
      <c r="A197" s="143" t="s">
        <v>22</v>
      </c>
      <c r="B197" s="206" t="s">
        <v>278</v>
      </c>
      <c r="C197" s="106"/>
      <c r="D197" s="335"/>
      <c r="E197" s="99"/>
      <c r="F197" s="70"/>
      <c r="G197" s="99"/>
      <c r="H197" s="13">
        <f t="shared" si="61"/>
        <v>2385265</v>
      </c>
      <c r="I197" s="13">
        <v>2385265</v>
      </c>
      <c r="J197" s="13"/>
      <c r="K197" s="13"/>
      <c r="L197" s="43"/>
      <c r="M197" s="42"/>
      <c r="N197" s="43"/>
      <c r="O197" s="43"/>
      <c r="P197" s="43"/>
      <c r="Q197" s="43"/>
      <c r="R197" s="43"/>
    </row>
    <row r="198" spans="1:18" ht="95.25" thickBot="1" x14ac:dyDescent="0.25">
      <c r="A198" s="82" t="s">
        <v>239</v>
      </c>
      <c r="B198" s="221"/>
      <c r="C198" s="249"/>
      <c r="D198" s="91"/>
      <c r="E198" s="240"/>
      <c r="F198" s="188"/>
      <c r="G198" s="240"/>
      <c r="H198" s="47">
        <f t="shared" si="61"/>
        <v>24498474.280000001</v>
      </c>
      <c r="I198" s="47">
        <f>I199</f>
        <v>24498474.280000001</v>
      </c>
      <c r="J198" s="47">
        <f>J199</f>
        <v>0</v>
      </c>
      <c r="K198" s="47">
        <f>K199</f>
        <v>0</v>
      </c>
      <c r="L198" s="45"/>
      <c r="N198" s="42"/>
    </row>
    <row r="199" spans="1:18" ht="42" customHeight="1" x14ac:dyDescent="0.2">
      <c r="A199" s="167" t="s">
        <v>98</v>
      </c>
      <c r="B199" s="36" t="s">
        <v>43</v>
      </c>
      <c r="C199" s="31" t="s">
        <v>99</v>
      </c>
      <c r="D199" s="211" t="s">
        <v>122</v>
      </c>
      <c r="E199" s="175">
        <f>F199+G199</f>
        <v>32805170.280000001</v>
      </c>
      <c r="F199" s="68">
        <v>8306696</v>
      </c>
      <c r="G199" s="175">
        <f>H199</f>
        <v>24498474.280000001</v>
      </c>
      <c r="H199" s="29">
        <f t="shared" ref="H199:H229" si="63">I199+J199+K199</f>
        <v>24498474.280000001</v>
      </c>
      <c r="I199" s="29">
        <f>SUM(I200:I202)</f>
        <v>24498474.280000001</v>
      </c>
      <c r="J199" s="29">
        <f>SUM(J200:J202)</f>
        <v>0</v>
      </c>
      <c r="K199" s="29">
        <f>SUM(K200:K202)</f>
        <v>0</v>
      </c>
      <c r="L199" s="45"/>
      <c r="N199" s="42"/>
      <c r="O199" s="83"/>
    </row>
    <row r="200" spans="1:18" ht="29.25" customHeight="1" x14ac:dyDescent="0.2">
      <c r="A200" s="141" t="s">
        <v>217</v>
      </c>
      <c r="B200" s="147" t="s">
        <v>111</v>
      </c>
      <c r="C200" s="41"/>
      <c r="D200" s="325"/>
      <c r="E200" s="192"/>
      <c r="F200" s="69"/>
      <c r="G200" s="192"/>
      <c r="H200" s="8">
        <f t="shared" si="63"/>
        <v>1228474.28</v>
      </c>
      <c r="I200" s="8">
        <f>1008330.84+220143.44</f>
        <v>1228474.28</v>
      </c>
      <c r="J200" s="8"/>
      <c r="K200" s="8"/>
      <c r="L200" s="45"/>
      <c r="N200" s="42"/>
    </row>
    <row r="201" spans="1:18" ht="27.75" customHeight="1" x14ac:dyDescent="0.2">
      <c r="A201" s="141" t="s">
        <v>157</v>
      </c>
      <c r="B201" s="147" t="s">
        <v>110</v>
      </c>
      <c r="C201" s="92"/>
      <c r="D201" s="226"/>
      <c r="E201" s="88"/>
      <c r="F201" s="69"/>
      <c r="G201" s="88"/>
      <c r="H201" s="8">
        <f t="shared" si="63"/>
        <v>4170000</v>
      </c>
      <c r="I201" s="8">
        <v>4170000</v>
      </c>
      <c r="J201" s="8"/>
      <c r="K201" s="8"/>
      <c r="L201" s="45"/>
      <c r="N201" s="42"/>
    </row>
    <row r="202" spans="1:18" ht="32.25" customHeight="1" thickBot="1" x14ac:dyDescent="0.25">
      <c r="A202" s="143" t="s">
        <v>158</v>
      </c>
      <c r="B202" s="206" t="s">
        <v>112</v>
      </c>
      <c r="C202" s="106"/>
      <c r="D202" s="215"/>
      <c r="E202" s="99"/>
      <c r="F202" s="70"/>
      <c r="G202" s="99"/>
      <c r="H202" s="13">
        <f t="shared" si="63"/>
        <v>19100000</v>
      </c>
      <c r="I202" s="13">
        <v>19100000</v>
      </c>
      <c r="J202" s="13"/>
      <c r="K202" s="13"/>
      <c r="L202" s="45"/>
      <c r="N202" s="42"/>
    </row>
    <row r="203" spans="1:18" ht="54.75" thickBot="1" x14ac:dyDescent="0.25">
      <c r="A203" s="46" t="s">
        <v>238</v>
      </c>
      <c r="B203" s="291"/>
      <c r="C203" s="91"/>
      <c r="D203" s="91"/>
      <c r="E203" s="188"/>
      <c r="F203" s="188"/>
      <c r="G203" s="188"/>
      <c r="H203" s="47">
        <f t="shared" si="63"/>
        <v>14830546.670000002</v>
      </c>
      <c r="I203" s="47">
        <f>I208+I218+I212+I215</f>
        <v>14830546.670000002</v>
      </c>
      <c r="J203" s="47">
        <f t="shared" ref="J203:K203" si="64">J208+J218</f>
        <v>0</v>
      </c>
      <c r="K203" s="47">
        <f t="shared" si="64"/>
        <v>0</v>
      </c>
      <c r="L203" s="44">
        <f>H204+H208+H212+H218+H215</f>
        <v>14830546.670000002</v>
      </c>
      <c r="N203" s="42"/>
    </row>
    <row r="204" spans="1:18" ht="76.5" x14ac:dyDescent="0.2">
      <c r="A204" s="167" t="s">
        <v>82</v>
      </c>
      <c r="B204" s="79" t="s">
        <v>43</v>
      </c>
      <c r="C204" s="28" t="s">
        <v>60</v>
      </c>
      <c r="D204" s="196"/>
      <c r="E204" s="175">
        <v>8035070</v>
      </c>
      <c r="F204" s="179">
        <v>4462875.72</v>
      </c>
      <c r="G204" s="175">
        <f>E204-F204</f>
        <v>3572194.2800000003</v>
      </c>
      <c r="H204" s="292">
        <f>I204+J204+K204</f>
        <v>0</v>
      </c>
      <c r="I204" s="292">
        <v>0</v>
      </c>
      <c r="J204" s="292">
        <v>0</v>
      </c>
      <c r="K204" s="292">
        <v>0</v>
      </c>
      <c r="L204" s="44"/>
      <c r="N204" s="42"/>
    </row>
    <row r="205" spans="1:18" ht="38.25" x14ac:dyDescent="0.2">
      <c r="A205" s="9" t="s">
        <v>62</v>
      </c>
      <c r="B205" s="5"/>
      <c r="C205" s="11"/>
      <c r="D205" s="11"/>
      <c r="E205" s="173"/>
      <c r="F205" s="173"/>
      <c r="G205" s="173"/>
      <c r="H205" s="89">
        <f>I205+J205+K205</f>
        <v>76.040000000000006</v>
      </c>
      <c r="I205" s="89">
        <v>76.040000000000006</v>
      </c>
      <c r="J205" s="89"/>
      <c r="K205" s="89"/>
      <c r="L205" s="44"/>
      <c r="N205" s="42"/>
    </row>
    <row r="206" spans="1:18" ht="38.25" x14ac:dyDescent="0.2">
      <c r="A206" s="9" t="s">
        <v>83</v>
      </c>
      <c r="B206" s="5"/>
      <c r="C206" s="11"/>
      <c r="D206" s="11"/>
      <c r="E206" s="173"/>
      <c r="F206" s="173"/>
      <c r="G206" s="173"/>
      <c r="H206" s="89">
        <f>I206+J206+K206</f>
        <v>75.5</v>
      </c>
      <c r="I206" s="89">
        <v>75.5</v>
      </c>
      <c r="J206" s="289"/>
      <c r="K206" s="289"/>
      <c r="L206" s="44"/>
      <c r="N206" s="42"/>
    </row>
    <row r="207" spans="1:18" ht="39" thickBot="1" x14ac:dyDescent="0.25">
      <c r="A207" s="15" t="s">
        <v>84</v>
      </c>
      <c r="B207" s="6"/>
      <c r="C207" s="12"/>
      <c r="D207" s="12"/>
      <c r="E207" s="174"/>
      <c r="F207" s="174"/>
      <c r="G207" s="174"/>
      <c r="H207" s="73">
        <f>I207+J207+K207</f>
        <v>7453.03</v>
      </c>
      <c r="I207" s="73">
        <v>7453.03</v>
      </c>
      <c r="J207" s="73"/>
      <c r="K207" s="73"/>
      <c r="L207" s="44"/>
      <c r="N207" s="42"/>
    </row>
    <row r="208" spans="1:18" ht="83.25" customHeight="1" x14ac:dyDescent="0.2">
      <c r="A208" s="109" t="s">
        <v>92</v>
      </c>
      <c r="B208" s="79" t="s">
        <v>43</v>
      </c>
      <c r="C208" s="28" t="s">
        <v>60</v>
      </c>
      <c r="D208" s="71" t="s">
        <v>77</v>
      </c>
      <c r="E208" s="175">
        <v>10940930.869999999</v>
      </c>
      <c r="F208" s="179">
        <v>685680</v>
      </c>
      <c r="G208" s="175">
        <f>E208-F208</f>
        <v>10255250.869999999</v>
      </c>
      <c r="H208" s="179">
        <f t="shared" si="63"/>
        <v>10255155.630000001</v>
      </c>
      <c r="I208" s="179">
        <f>SUM(I209:I211)</f>
        <v>10255155.630000001</v>
      </c>
      <c r="J208" s="179">
        <f>SUM(J209:J211)</f>
        <v>0</v>
      </c>
      <c r="K208" s="179">
        <f>SUM(K209:K211)</f>
        <v>0</v>
      </c>
      <c r="N208" s="43"/>
    </row>
    <row r="209" spans="1:14" ht="38.25" x14ac:dyDescent="0.2">
      <c r="A209" s="9" t="s">
        <v>24</v>
      </c>
      <c r="B209" s="147" t="s">
        <v>216</v>
      </c>
      <c r="C209" s="11"/>
      <c r="D209" s="11"/>
      <c r="E209" s="257"/>
      <c r="F209" s="257"/>
      <c r="G209" s="257"/>
      <c r="H209" s="173">
        <f t="shared" si="63"/>
        <v>102552.51</v>
      </c>
      <c r="I209" s="173">
        <v>102552.51</v>
      </c>
      <c r="J209" s="173"/>
      <c r="K209" s="173"/>
      <c r="N209" s="43"/>
    </row>
    <row r="210" spans="1:14" ht="38.25" x14ac:dyDescent="0.2">
      <c r="A210" s="141" t="s">
        <v>25</v>
      </c>
      <c r="B210" s="147" t="s">
        <v>211</v>
      </c>
      <c r="C210" s="11"/>
      <c r="D210" s="11"/>
      <c r="E210" s="257"/>
      <c r="F210" s="257"/>
      <c r="G210" s="257"/>
      <c r="H210" s="173">
        <f t="shared" si="63"/>
        <v>101603.12</v>
      </c>
      <c r="I210" s="173">
        <f>101698.36-95.24</f>
        <v>101603.12</v>
      </c>
      <c r="J210" s="173"/>
      <c r="K210" s="173"/>
      <c r="L210" s="144"/>
      <c r="M210" s="83"/>
      <c r="N210" s="43"/>
    </row>
    <row r="211" spans="1:14" ht="38.25" x14ac:dyDescent="0.2">
      <c r="A211" s="141" t="s">
        <v>210</v>
      </c>
      <c r="B211" s="147" t="s">
        <v>212</v>
      </c>
      <c r="C211" s="11"/>
      <c r="D211" s="11"/>
      <c r="E211" s="257"/>
      <c r="F211" s="257"/>
      <c r="G211" s="257"/>
      <c r="H211" s="173">
        <f t="shared" si="63"/>
        <v>10051000</v>
      </c>
      <c r="I211" s="173">
        <f>10051000-95.24+95.24</f>
        <v>10051000</v>
      </c>
      <c r="J211" s="173"/>
      <c r="K211" s="173"/>
      <c r="L211" s="144"/>
      <c r="N211" s="43"/>
    </row>
    <row r="212" spans="1:14" ht="71.25" customHeight="1" x14ac:dyDescent="0.2">
      <c r="A212" s="371" t="s">
        <v>123</v>
      </c>
      <c r="B212" s="209" t="s">
        <v>47</v>
      </c>
      <c r="C212" s="336" t="s">
        <v>60</v>
      </c>
      <c r="D212" s="334" t="s">
        <v>282</v>
      </c>
      <c r="E212" s="146">
        <f>F212+G212</f>
        <v>10295600</v>
      </c>
      <c r="F212" s="337">
        <v>295600</v>
      </c>
      <c r="G212" s="146">
        <v>10000000</v>
      </c>
      <c r="H212" s="337">
        <f t="shared" ref="H212:H213" si="65">I212+J212+K212</f>
        <v>106629.66</v>
      </c>
      <c r="I212" s="337">
        <f>SUM(I213)</f>
        <v>106629.66</v>
      </c>
      <c r="J212" s="337">
        <f t="shared" ref="J212" si="66">SUM(J213)</f>
        <v>0</v>
      </c>
      <c r="K212" s="337">
        <f t="shared" ref="K212" si="67">SUM(K213)</f>
        <v>0</v>
      </c>
      <c r="N212" s="43"/>
    </row>
    <row r="213" spans="1:14" ht="25.5" x14ac:dyDescent="0.2">
      <c r="A213" s="141" t="s">
        <v>280</v>
      </c>
      <c r="B213" s="147" t="s">
        <v>281</v>
      </c>
      <c r="C213" s="288"/>
      <c r="D213" s="268"/>
      <c r="E213" s="333"/>
      <c r="F213" s="311"/>
      <c r="G213" s="333"/>
      <c r="H213" s="173">
        <f t="shared" si="65"/>
        <v>106629.66</v>
      </c>
      <c r="I213" s="173">
        <f>100000+6629.66</f>
        <v>106629.66</v>
      </c>
      <c r="J213" s="173"/>
      <c r="K213" s="173"/>
      <c r="L213" s="144"/>
      <c r="N213" s="43"/>
    </row>
    <row r="214" spans="1:14" ht="39" thickBot="1" x14ac:dyDescent="0.25">
      <c r="A214" s="15" t="s">
        <v>62</v>
      </c>
      <c r="B214" s="6"/>
      <c r="C214" s="12"/>
      <c r="D214" s="163"/>
      <c r="E214" s="174"/>
      <c r="F214" s="174"/>
      <c r="G214" s="174"/>
      <c r="H214" s="293">
        <f t="shared" si="63"/>
        <v>434440</v>
      </c>
      <c r="I214" s="293">
        <v>434440</v>
      </c>
      <c r="J214" s="293"/>
      <c r="K214" s="293"/>
      <c r="N214" s="43"/>
    </row>
    <row r="215" spans="1:14" ht="85.5" customHeight="1" x14ac:dyDescent="0.2">
      <c r="A215" s="75" t="s">
        <v>359</v>
      </c>
      <c r="B215" s="79" t="s">
        <v>47</v>
      </c>
      <c r="C215" s="28" t="s">
        <v>60</v>
      </c>
      <c r="D215" s="213" t="s">
        <v>282</v>
      </c>
      <c r="E215" s="175">
        <f>F215+G215</f>
        <v>12250600</v>
      </c>
      <c r="F215" s="179">
        <v>250600</v>
      </c>
      <c r="G215" s="175">
        <v>12000000</v>
      </c>
      <c r="H215" s="179">
        <f t="shared" si="63"/>
        <v>106629.66</v>
      </c>
      <c r="I215" s="179">
        <f>SUM(I216)</f>
        <v>106629.66</v>
      </c>
      <c r="J215" s="179">
        <f t="shared" ref="J215:K215" si="68">SUM(J216)</f>
        <v>0</v>
      </c>
      <c r="K215" s="179">
        <f t="shared" si="68"/>
        <v>0</v>
      </c>
      <c r="N215" s="43"/>
    </row>
    <row r="216" spans="1:14" ht="33" customHeight="1" x14ac:dyDescent="0.2">
      <c r="A216" s="141" t="s">
        <v>280</v>
      </c>
      <c r="B216" s="147" t="s">
        <v>281</v>
      </c>
      <c r="C216" s="11"/>
      <c r="D216" s="260"/>
      <c r="E216" s="192"/>
      <c r="F216" s="173"/>
      <c r="G216" s="192"/>
      <c r="H216" s="173">
        <f t="shared" si="63"/>
        <v>106629.66</v>
      </c>
      <c r="I216" s="173">
        <f>100000+6629.66</f>
        <v>106629.66</v>
      </c>
      <c r="J216" s="173"/>
      <c r="K216" s="173"/>
      <c r="L216" s="144"/>
      <c r="N216" s="43"/>
    </row>
    <row r="217" spans="1:14" ht="39" thickBot="1" x14ac:dyDescent="0.25">
      <c r="A217" s="168" t="s">
        <v>62</v>
      </c>
      <c r="B217" s="232"/>
      <c r="C217" s="212"/>
      <c r="D217" s="164"/>
      <c r="E217" s="272"/>
      <c r="F217" s="272"/>
      <c r="G217" s="272"/>
      <c r="H217" s="294">
        <f t="shared" si="63"/>
        <v>473880</v>
      </c>
      <c r="I217" s="294">
        <v>473880</v>
      </c>
      <c r="J217" s="294"/>
      <c r="K217" s="294"/>
      <c r="N217" s="43"/>
    </row>
    <row r="218" spans="1:14" ht="67.5" customHeight="1" x14ac:dyDescent="0.2">
      <c r="A218" s="109" t="s">
        <v>95</v>
      </c>
      <c r="B218" s="79" t="s">
        <v>43</v>
      </c>
      <c r="C218" s="71" t="s">
        <v>152</v>
      </c>
      <c r="D218" s="213" t="s">
        <v>77</v>
      </c>
      <c r="E218" s="175">
        <v>5955131.7199999997</v>
      </c>
      <c r="F218" s="179">
        <v>1593000</v>
      </c>
      <c r="G218" s="175">
        <f>E218-F218</f>
        <v>4362131.72</v>
      </c>
      <c r="H218" s="29">
        <f>I218+J218+K218</f>
        <v>4362131.7200000007</v>
      </c>
      <c r="I218" s="29">
        <f>SUM(I219:I220)</f>
        <v>4362131.7200000007</v>
      </c>
      <c r="J218" s="29">
        <f>SUM(J219:J220)</f>
        <v>0</v>
      </c>
      <c r="K218" s="29">
        <f>SUM(K219:K220)</f>
        <v>0</v>
      </c>
      <c r="N218" s="43"/>
    </row>
    <row r="219" spans="1:14" ht="28.5" customHeight="1" x14ac:dyDescent="0.2">
      <c r="A219" s="210" t="s">
        <v>154</v>
      </c>
      <c r="B219" s="281" t="s">
        <v>153</v>
      </c>
      <c r="C219" s="268"/>
      <c r="D219" s="279"/>
      <c r="E219" s="273"/>
      <c r="F219" s="280"/>
      <c r="G219" s="273"/>
      <c r="H219" s="8">
        <f>I219+J219+K219</f>
        <v>43621.32</v>
      </c>
      <c r="I219" s="283">
        <v>43621.32</v>
      </c>
      <c r="J219" s="283"/>
      <c r="K219" s="283"/>
      <c r="N219" s="43"/>
    </row>
    <row r="220" spans="1:14" ht="29.25" customHeight="1" thickBot="1" x14ac:dyDescent="0.25">
      <c r="A220" s="282" t="s">
        <v>155</v>
      </c>
      <c r="B220" s="206" t="s">
        <v>156</v>
      </c>
      <c r="C220" s="151"/>
      <c r="D220" s="163"/>
      <c r="E220" s="155"/>
      <c r="F220" s="152"/>
      <c r="G220" s="159"/>
      <c r="H220" s="22">
        <f>I220+J220+K220</f>
        <v>4318510.4000000004</v>
      </c>
      <c r="I220" s="13">
        <v>4318510.4000000004</v>
      </c>
      <c r="J220" s="13"/>
      <c r="K220" s="13"/>
      <c r="N220" s="43"/>
    </row>
    <row r="221" spans="1:14" ht="44.25" customHeight="1" thickBot="1" x14ac:dyDescent="0.25">
      <c r="A221" s="10" t="s">
        <v>45</v>
      </c>
      <c r="B221" s="291"/>
      <c r="C221" s="91"/>
      <c r="D221" s="91"/>
      <c r="E221" s="188"/>
      <c r="F221" s="188"/>
      <c r="G221" s="188"/>
      <c r="H221" s="57">
        <f t="shared" si="63"/>
        <v>3268279533.3600001</v>
      </c>
      <c r="I221" s="57">
        <f>I222</f>
        <v>2421603781.21</v>
      </c>
      <c r="J221" s="57">
        <f>J222</f>
        <v>846675752.14999998</v>
      </c>
      <c r="K221" s="57">
        <f>K222</f>
        <v>0</v>
      </c>
      <c r="L221" s="44">
        <f>H229+H223</f>
        <v>3268279533.3599997</v>
      </c>
    </row>
    <row r="222" spans="1:14" ht="54" customHeight="1" thickBot="1" x14ac:dyDescent="0.25">
      <c r="A222" s="82" t="s">
        <v>65</v>
      </c>
      <c r="B222" s="291"/>
      <c r="C222" s="91"/>
      <c r="D222" s="91"/>
      <c r="E222" s="188"/>
      <c r="F222" s="188"/>
      <c r="G222" s="188"/>
      <c r="H222" s="47">
        <f>I222+J222+K222</f>
        <v>3268279533.3600001</v>
      </c>
      <c r="I222" s="57">
        <f>I229+I223</f>
        <v>2421603781.21</v>
      </c>
      <c r="J222" s="57">
        <f>J229+J223</f>
        <v>846675752.14999998</v>
      </c>
      <c r="K222" s="57">
        <f>K229+K223</f>
        <v>0</v>
      </c>
      <c r="L222" s="44"/>
    </row>
    <row r="223" spans="1:14" ht="42" customHeight="1" thickBot="1" x14ac:dyDescent="0.25">
      <c r="A223" s="10" t="s">
        <v>2</v>
      </c>
      <c r="B223" s="291"/>
      <c r="C223" s="91"/>
      <c r="D223" s="91"/>
      <c r="E223" s="188"/>
      <c r="F223" s="188"/>
      <c r="G223" s="188"/>
      <c r="H223" s="57">
        <f>I223+J223+K223</f>
        <v>103470506.75999999</v>
      </c>
      <c r="I223" s="57">
        <f>I224</f>
        <v>103470506.75999999</v>
      </c>
      <c r="J223" s="57">
        <f>J224</f>
        <v>0</v>
      </c>
      <c r="K223" s="57">
        <f>K224</f>
        <v>0</v>
      </c>
      <c r="L223" s="44"/>
    </row>
    <row r="224" spans="1:14" ht="42" customHeight="1" x14ac:dyDescent="0.2">
      <c r="A224" s="75" t="s">
        <v>20</v>
      </c>
      <c r="B224" s="30" t="s">
        <v>43</v>
      </c>
      <c r="C224" s="28" t="s">
        <v>3</v>
      </c>
      <c r="D224" s="28" t="s">
        <v>26</v>
      </c>
      <c r="E224" s="175">
        <v>424765739.00999999</v>
      </c>
      <c r="F224" s="179">
        <v>169009051.56</v>
      </c>
      <c r="G224" s="175">
        <f>E224-F224</f>
        <v>255756687.44999999</v>
      </c>
      <c r="H224" s="29">
        <f t="shared" si="63"/>
        <v>103470506.75999999</v>
      </c>
      <c r="I224" s="29">
        <f>SUM(I225:I226)</f>
        <v>103470506.75999999</v>
      </c>
      <c r="J224" s="29">
        <f t="shared" ref="J224:K224" si="69">SUM(J225:J226)</f>
        <v>0</v>
      </c>
      <c r="K224" s="29">
        <f t="shared" si="69"/>
        <v>0</v>
      </c>
      <c r="L224" s="44"/>
    </row>
    <row r="225" spans="1:15" ht="31.5" customHeight="1" x14ac:dyDescent="0.2">
      <c r="A225" s="141" t="s">
        <v>378</v>
      </c>
      <c r="B225" s="147" t="s">
        <v>380</v>
      </c>
      <c r="C225" s="11"/>
      <c r="D225" s="162"/>
      <c r="E225" s="192"/>
      <c r="F225" s="173"/>
      <c r="G225" s="192"/>
      <c r="H225" s="8">
        <f t="shared" si="63"/>
        <v>1034705.07</v>
      </c>
      <c r="I225" s="173">
        <f>856710.34+177994.73</f>
        <v>1034705.07</v>
      </c>
      <c r="J225" s="8"/>
      <c r="K225" s="8"/>
      <c r="L225" s="144"/>
    </row>
    <row r="226" spans="1:15" ht="31.5" customHeight="1" x14ac:dyDescent="0.2">
      <c r="A226" s="141" t="s">
        <v>379</v>
      </c>
      <c r="B226" s="147" t="s">
        <v>381</v>
      </c>
      <c r="C226" s="11"/>
      <c r="D226" s="162"/>
      <c r="E226" s="192"/>
      <c r="F226" s="173"/>
      <c r="G226" s="192"/>
      <c r="H226" s="8">
        <f t="shared" si="63"/>
        <v>102435801.69</v>
      </c>
      <c r="I226" s="8">
        <v>102435801.69</v>
      </c>
      <c r="J226" s="8"/>
      <c r="K226" s="8"/>
      <c r="L226" s="144"/>
    </row>
    <row r="227" spans="1:15" ht="38.25" x14ac:dyDescent="0.2">
      <c r="A227" s="9" t="s">
        <v>81</v>
      </c>
      <c r="B227" s="253"/>
      <c r="C227" s="162"/>
      <c r="D227" s="162"/>
      <c r="E227" s="257"/>
      <c r="F227" s="257"/>
      <c r="G227" s="257"/>
      <c r="H227" s="89">
        <f t="shared" si="63"/>
        <v>1328261.8</v>
      </c>
      <c r="I227" s="89">
        <v>1328261.8</v>
      </c>
      <c r="J227" s="8"/>
      <c r="K227" s="8"/>
      <c r="L227" s="43"/>
      <c r="M227" s="43"/>
      <c r="N227" s="43"/>
      <c r="O227" s="83">
        <f>1034705.07-I225</f>
        <v>0</v>
      </c>
    </row>
    <row r="228" spans="1:15" ht="39" thickBot="1" x14ac:dyDescent="0.25">
      <c r="A228" s="9" t="s">
        <v>187</v>
      </c>
      <c r="B228" s="253"/>
      <c r="C228" s="162"/>
      <c r="D228" s="162"/>
      <c r="E228" s="257"/>
      <c r="F228" s="257"/>
      <c r="G228" s="257"/>
      <c r="H228" s="89">
        <f>I228+J228+K228</f>
        <v>131497918.90000001</v>
      </c>
      <c r="I228" s="89">
        <v>131497918.90000001</v>
      </c>
      <c r="J228" s="8"/>
      <c r="K228" s="8"/>
      <c r="L228" s="43"/>
      <c r="M228" s="43"/>
      <c r="N228" s="43"/>
    </row>
    <row r="229" spans="1:15" ht="21" customHeight="1" thickBot="1" x14ac:dyDescent="0.25">
      <c r="A229" s="313" t="s">
        <v>55</v>
      </c>
      <c r="B229" s="314"/>
      <c r="C229" s="315"/>
      <c r="D229" s="315"/>
      <c r="E229" s="316"/>
      <c r="F229" s="316"/>
      <c r="G229" s="316"/>
      <c r="H229" s="317">
        <f t="shared" si="63"/>
        <v>3164809026.5999999</v>
      </c>
      <c r="I229" s="317">
        <f>I259+I230+I239+I248</f>
        <v>2318133274.4499998</v>
      </c>
      <c r="J229" s="317">
        <f>J259+J230+J239+J248</f>
        <v>846675752.14999998</v>
      </c>
      <c r="K229" s="317">
        <f>K259+K230+K239+K248</f>
        <v>0</v>
      </c>
      <c r="L229" s="3">
        <f>H259+H230+H239+H248</f>
        <v>3164809026.5999999</v>
      </c>
      <c r="M229" s="43"/>
    </row>
    <row r="230" spans="1:15" ht="42.75" customHeight="1" x14ac:dyDescent="0.2">
      <c r="A230" s="109" t="s">
        <v>63</v>
      </c>
      <c r="B230" s="30" t="s">
        <v>43</v>
      </c>
      <c r="C230" s="28" t="s">
        <v>49</v>
      </c>
      <c r="D230" s="28" t="s">
        <v>26</v>
      </c>
      <c r="E230" s="175">
        <v>1463120300</v>
      </c>
      <c r="F230" s="179">
        <v>466428285.13</v>
      </c>
      <c r="G230" s="175">
        <f>E230-F230</f>
        <v>996692014.87</v>
      </c>
      <c r="H230" s="29">
        <f>I230+J230+K230</f>
        <v>684993842.99000001</v>
      </c>
      <c r="I230" s="29">
        <f>SUM(I231:I235)</f>
        <v>684993842.99000001</v>
      </c>
      <c r="J230" s="29">
        <f>SUM(J231:J235)</f>
        <v>0</v>
      </c>
      <c r="K230" s="29">
        <f>SUM(K231:K235)</f>
        <v>0</v>
      </c>
      <c r="L230" s="43"/>
      <c r="M230" s="43"/>
      <c r="N230" s="83"/>
    </row>
    <row r="231" spans="1:15" ht="40.5" customHeight="1" x14ac:dyDescent="0.2">
      <c r="A231" s="141" t="s">
        <v>78</v>
      </c>
      <c r="B231" s="147" t="s">
        <v>241</v>
      </c>
      <c r="C231" s="11"/>
      <c r="D231" s="11"/>
      <c r="E231" s="261"/>
      <c r="F231" s="257"/>
      <c r="G231" s="261"/>
      <c r="H231" s="8">
        <f>I231+J231+K231</f>
        <v>6702344.6699999999</v>
      </c>
      <c r="I231" s="8">
        <v>6702344.6699999999</v>
      </c>
      <c r="J231" s="8"/>
      <c r="K231" s="8"/>
      <c r="L231" s="43"/>
      <c r="M231" s="43"/>
      <c r="N231" s="43"/>
    </row>
    <row r="232" spans="1:15" ht="30.75" customHeight="1" x14ac:dyDescent="0.2">
      <c r="A232" s="141" t="s">
        <v>287</v>
      </c>
      <c r="B232" s="147" t="s">
        <v>288</v>
      </c>
      <c r="C232" s="11"/>
      <c r="D232" s="11"/>
      <c r="E232" s="261"/>
      <c r="F232" s="257"/>
      <c r="G232" s="261"/>
      <c r="H232" s="8">
        <f>I232+J232+K232</f>
        <v>147593.76</v>
      </c>
      <c r="I232" s="8">
        <v>147593.76</v>
      </c>
      <c r="J232" s="8"/>
      <c r="K232" s="8"/>
      <c r="L232" s="43"/>
      <c r="M232" s="43"/>
      <c r="N232" s="43"/>
    </row>
    <row r="233" spans="1:15" ht="30.75" customHeight="1" x14ac:dyDescent="0.2">
      <c r="A233" s="141" t="s">
        <v>294</v>
      </c>
      <c r="B233" s="147" t="s">
        <v>295</v>
      </c>
      <c r="C233" s="11"/>
      <c r="D233" s="11"/>
      <c r="E233" s="261"/>
      <c r="F233" s="257"/>
      <c r="G233" s="261"/>
      <c r="H233" s="8">
        <f>I233+J233+K233</f>
        <v>14611782.560000001</v>
      </c>
      <c r="I233" s="8">
        <v>14611782.560000001</v>
      </c>
      <c r="J233" s="8"/>
      <c r="K233" s="8"/>
      <c r="L233" s="43"/>
      <c r="M233" s="43"/>
      <c r="N233" s="43"/>
    </row>
    <row r="234" spans="1:15" ht="42" customHeight="1" x14ac:dyDescent="0.2">
      <c r="A234" s="141" t="s">
        <v>67</v>
      </c>
      <c r="B234" s="147" t="s">
        <v>242</v>
      </c>
      <c r="C234" s="11"/>
      <c r="D234" s="11"/>
      <c r="E234" s="257"/>
      <c r="F234" s="257"/>
      <c r="G234" s="257"/>
      <c r="H234" s="8">
        <f t="shared" ref="H234:H245" si="70">I234+J234+K234</f>
        <v>6635322</v>
      </c>
      <c r="I234" s="8">
        <v>6635322</v>
      </c>
      <c r="J234" s="8"/>
      <c r="K234" s="8"/>
      <c r="L234" s="43"/>
      <c r="M234" s="43"/>
      <c r="N234" s="43"/>
    </row>
    <row r="235" spans="1:15" ht="40.5" customHeight="1" x14ac:dyDescent="0.2">
      <c r="A235" s="141" t="s">
        <v>85</v>
      </c>
      <c r="B235" s="147" t="s">
        <v>243</v>
      </c>
      <c r="C235" s="11"/>
      <c r="D235" s="11"/>
      <c r="E235" s="257"/>
      <c r="F235" s="257"/>
      <c r="G235" s="257"/>
      <c r="H235" s="8">
        <f t="shared" si="70"/>
        <v>656896800</v>
      </c>
      <c r="I235" s="8">
        <v>656896800</v>
      </c>
      <c r="J235" s="8"/>
      <c r="K235" s="8"/>
      <c r="L235" s="43"/>
      <c r="M235" s="45"/>
      <c r="N235" s="43"/>
    </row>
    <row r="236" spans="1:15" ht="38.25" x14ac:dyDescent="0.2">
      <c r="A236" s="9" t="s">
        <v>81</v>
      </c>
      <c r="B236" s="253"/>
      <c r="C236" s="162"/>
      <c r="D236" s="162"/>
      <c r="E236" s="257"/>
      <c r="F236" s="257"/>
      <c r="G236" s="257"/>
      <c r="H236" s="89">
        <f t="shared" si="70"/>
        <v>2997124.08</v>
      </c>
      <c r="I236" s="89">
        <v>2997124.08</v>
      </c>
      <c r="J236" s="8"/>
      <c r="K236" s="8"/>
      <c r="L236" s="43"/>
      <c r="M236" s="45"/>
      <c r="N236" s="43"/>
    </row>
    <row r="237" spans="1:15" ht="38.25" x14ac:dyDescent="0.2">
      <c r="A237" s="9" t="s">
        <v>187</v>
      </c>
      <c r="B237" s="253"/>
      <c r="C237" s="162"/>
      <c r="D237" s="162"/>
      <c r="E237" s="257"/>
      <c r="F237" s="257"/>
      <c r="G237" s="257"/>
      <c r="H237" s="89">
        <f>I237+J237+K237</f>
        <v>261761545.94</v>
      </c>
      <c r="I237" s="89">
        <v>261761545.94</v>
      </c>
      <c r="J237" s="8"/>
      <c r="K237" s="8"/>
      <c r="L237" s="43"/>
      <c r="M237" s="45"/>
      <c r="N237" s="43"/>
    </row>
    <row r="238" spans="1:15" ht="39" thickBot="1" x14ac:dyDescent="0.25">
      <c r="A238" s="15" t="s">
        <v>188</v>
      </c>
      <c r="B238" s="150"/>
      <c r="C238" s="163"/>
      <c r="D238" s="163"/>
      <c r="E238" s="193"/>
      <c r="F238" s="193"/>
      <c r="G238" s="193"/>
      <c r="H238" s="73">
        <f>I238</f>
        <v>34953738.109999999</v>
      </c>
      <c r="I238" s="73">
        <v>34953738.109999999</v>
      </c>
      <c r="J238" s="13"/>
      <c r="K238" s="13"/>
      <c r="L238" s="43"/>
      <c r="M238" s="45"/>
      <c r="N238" s="43"/>
    </row>
    <row r="239" spans="1:15" ht="33" customHeight="1" x14ac:dyDescent="0.2">
      <c r="A239" s="109" t="s">
        <v>1</v>
      </c>
      <c r="B239" s="30" t="s">
        <v>43</v>
      </c>
      <c r="C239" s="28" t="s">
        <v>49</v>
      </c>
      <c r="D239" s="28" t="s">
        <v>26</v>
      </c>
      <c r="E239" s="179">
        <v>1494427180</v>
      </c>
      <c r="F239" s="179">
        <v>111054328.06</v>
      </c>
      <c r="G239" s="179">
        <f>E239-F239</f>
        <v>1383372851.9400001</v>
      </c>
      <c r="H239" s="29">
        <f t="shared" si="70"/>
        <v>737774935.79999995</v>
      </c>
      <c r="I239" s="29">
        <f>SUM(I240:I244)</f>
        <v>737774935.79999995</v>
      </c>
      <c r="J239" s="29">
        <f>SUM(J240:J244)</f>
        <v>0</v>
      </c>
      <c r="K239" s="29">
        <f>SUM(K240:K244)</f>
        <v>0</v>
      </c>
      <c r="L239" s="43"/>
      <c r="M239" s="43"/>
    </row>
    <row r="240" spans="1:15" ht="38.25" x14ac:dyDescent="0.2">
      <c r="A240" s="141" t="s">
        <v>59</v>
      </c>
      <c r="B240" s="147" t="s">
        <v>245</v>
      </c>
      <c r="C240" s="191"/>
      <c r="D240" s="191"/>
      <c r="E240" s="173"/>
      <c r="F240" s="173"/>
      <c r="G240" s="173"/>
      <c r="H240" s="173">
        <f t="shared" si="70"/>
        <v>5156802.0599999996</v>
      </c>
      <c r="I240" s="173">
        <f>5191180.72-34378.66</f>
        <v>5156802.0599999996</v>
      </c>
      <c r="J240" s="8"/>
      <c r="K240" s="8"/>
      <c r="L240" s="43"/>
      <c r="M240" s="43"/>
      <c r="N240" s="43"/>
    </row>
    <row r="241" spans="1:16" ht="33.75" customHeight="1" x14ac:dyDescent="0.2">
      <c r="A241" s="141" t="s">
        <v>218</v>
      </c>
      <c r="B241" s="147" t="s">
        <v>116</v>
      </c>
      <c r="C241" s="191"/>
      <c r="D241" s="191"/>
      <c r="E241" s="173"/>
      <c r="F241" s="173"/>
      <c r="G241" s="173"/>
      <c r="H241" s="173">
        <f t="shared" si="70"/>
        <v>2220947.2999999998</v>
      </c>
      <c r="I241" s="173">
        <f>538598.99+34378.66+1292179.29+355790.36</f>
        <v>2220947.2999999998</v>
      </c>
      <c r="J241" s="8"/>
      <c r="K241" s="8"/>
      <c r="L241" s="43"/>
      <c r="M241" s="43"/>
      <c r="N241" s="43"/>
    </row>
    <row r="242" spans="1:16" ht="38.25" x14ac:dyDescent="0.2">
      <c r="A242" s="141" t="s">
        <v>119</v>
      </c>
      <c r="B242" s="147" t="s">
        <v>246</v>
      </c>
      <c r="C242" s="191"/>
      <c r="D242" s="191"/>
      <c r="E242" s="173"/>
      <c r="F242" s="173"/>
      <c r="G242" s="173"/>
      <c r="H242" s="173">
        <f t="shared" si="70"/>
        <v>30631404.260000002</v>
      </c>
      <c r="I242" s="173">
        <f>34034891.49-3403487.23</f>
        <v>30631404.260000002</v>
      </c>
      <c r="J242" s="8"/>
      <c r="K242" s="8"/>
      <c r="L242" s="43"/>
      <c r="M242" s="43"/>
      <c r="N242" s="43"/>
    </row>
    <row r="243" spans="1:16" ht="29.25" customHeight="1" x14ac:dyDescent="0.2">
      <c r="A243" s="141" t="s">
        <v>219</v>
      </c>
      <c r="B243" s="147" t="s">
        <v>115</v>
      </c>
      <c r="C243" s="191"/>
      <c r="D243" s="191"/>
      <c r="E243" s="173"/>
      <c r="F243" s="173"/>
      <c r="G243" s="173"/>
      <c r="H243" s="173">
        <f t="shared" si="70"/>
        <v>219873782.17999998</v>
      </c>
      <c r="I243" s="173">
        <f>53321300+3403487.23+127925749.32+35223345.63-100</f>
        <v>219873782.17999998</v>
      </c>
      <c r="J243" s="8"/>
      <c r="K243" s="8"/>
      <c r="L243" s="43"/>
      <c r="M243" s="43"/>
      <c r="N243" s="43"/>
    </row>
    <row r="244" spans="1:16" ht="38.25" x14ac:dyDescent="0.2">
      <c r="A244" s="141" t="s">
        <v>220</v>
      </c>
      <c r="B244" s="147" t="s">
        <v>247</v>
      </c>
      <c r="C244" s="191"/>
      <c r="D244" s="191"/>
      <c r="E244" s="173"/>
      <c r="F244" s="173"/>
      <c r="G244" s="173"/>
      <c r="H244" s="173">
        <f t="shared" si="70"/>
        <v>479892000</v>
      </c>
      <c r="I244" s="173">
        <v>479892000</v>
      </c>
      <c r="J244" s="149"/>
      <c r="K244" s="149"/>
      <c r="L244" s="43"/>
      <c r="M244" s="144"/>
      <c r="N244" s="144"/>
    </row>
    <row r="245" spans="1:16" ht="38.25" x14ac:dyDescent="0.2">
      <c r="A245" s="9" t="s">
        <v>81</v>
      </c>
      <c r="B245" s="147"/>
      <c r="C245" s="162"/>
      <c r="D245" s="162"/>
      <c r="E245" s="257"/>
      <c r="F245" s="257"/>
      <c r="G245" s="257"/>
      <c r="H245" s="89">
        <f t="shared" si="70"/>
        <v>6022703.0099999998</v>
      </c>
      <c r="I245" s="89">
        <v>6022703.0099999998</v>
      </c>
      <c r="J245" s="149"/>
      <c r="K245" s="149"/>
      <c r="L245" s="43"/>
      <c r="M245" s="144"/>
      <c r="N245" s="144"/>
    </row>
    <row r="246" spans="1:16" ht="38.25" x14ac:dyDescent="0.2">
      <c r="A246" s="9" t="s">
        <v>187</v>
      </c>
      <c r="B246" s="147"/>
      <c r="C246" s="162"/>
      <c r="D246" s="162"/>
      <c r="E246" s="257"/>
      <c r="F246" s="257"/>
      <c r="G246" s="257"/>
      <c r="H246" s="89">
        <f>I246+J246+K246</f>
        <v>357765813.16000003</v>
      </c>
      <c r="I246" s="89">
        <v>357765813.16000003</v>
      </c>
      <c r="J246" s="149"/>
      <c r="K246" s="149"/>
      <c r="L246" s="43"/>
      <c r="M246" s="144"/>
      <c r="N246" s="144"/>
    </row>
    <row r="247" spans="1:16" ht="39" thickBot="1" x14ac:dyDescent="0.25">
      <c r="A247" s="15" t="s">
        <v>188</v>
      </c>
      <c r="B247" s="206"/>
      <c r="C247" s="163"/>
      <c r="D247" s="163"/>
      <c r="E247" s="193"/>
      <c r="F247" s="193"/>
      <c r="G247" s="193"/>
      <c r="H247" s="73">
        <f>I247</f>
        <v>238481784.69999999</v>
      </c>
      <c r="I247" s="73">
        <v>238481784.69999999</v>
      </c>
      <c r="J247" s="152"/>
      <c r="K247" s="152"/>
      <c r="L247" s="43"/>
      <c r="M247" s="144"/>
      <c r="N247" s="144"/>
    </row>
    <row r="248" spans="1:16" ht="54" customHeight="1" x14ac:dyDescent="0.2">
      <c r="A248" s="167" t="s">
        <v>132</v>
      </c>
      <c r="B248" s="172" t="s">
        <v>43</v>
      </c>
      <c r="C248" s="196" t="s">
        <v>49</v>
      </c>
      <c r="D248" s="196" t="s">
        <v>71</v>
      </c>
      <c r="E248" s="179">
        <v>1756465656.5599999</v>
      </c>
      <c r="F248" s="179">
        <v>1285970</v>
      </c>
      <c r="G248" s="179">
        <f>E248-F248</f>
        <v>1755179686.5599999</v>
      </c>
      <c r="H248" s="29">
        <f t="shared" ref="H248:H257" si="71">I248+J248+K248</f>
        <v>1435855617.9499998</v>
      </c>
      <c r="I248" s="179">
        <f>SUM(I249:I256)</f>
        <v>589179865.79999995</v>
      </c>
      <c r="J248" s="179">
        <f t="shared" ref="J248:K248" si="72">SUM(J249:J256)</f>
        <v>846675752.14999998</v>
      </c>
      <c r="K248" s="179">
        <f t="shared" si="72"/>
        <v>0</v>
      </c>
      <c r="L248" s="43"/>
      <c r="M248" s="144"/>
      <c r="N248" s="394"/>
      <c r="O248" s="394"/>
    </row>
    <row r="249" spans="1:16" ht="29.25" customHeight="1" x14ac:dyDescent="0.2">
      <c r="A249" s="141" t="s">
        <v>178</v>
      </c>
      <c r="B249" s="147" t="s">
        <v>72</v>
      </c>
      <c r="C249" s="162"/>
      <c r="D249" s="162"/>
      <c r="E249" s="257"/>
      <c r="F249" s="257"/>
      <c r="G249" s="257"/>
      <c r="H249" s="8">
        <f t="shared" si="71"/>
        <v>3423353.85</v>
      </c>
      <c r="I249" s="173">
        <v>1800575.76</v>
      </c>
      <c r="J249" s="173">
        <f>1622778.09</f>
        <v>1622778.09</v>
      </c>
      <c r="K249" s="173"/>
      <c r="L249" s="43"/>
      <c r="M249" s="43"/>
      <c r="N249" s="393"/>
      <c r="O249" s="393"/>
    </row>
    <row r="250" spans="1:16" ht="30.75" customHeight="1" x14ac:dyDescent="0.2">
      <c r="A250" s="141" t="s">
        <v>176</v>
      </c>
      <c r="B250" s="147" t="s">
        <v>213</v>
      </c>
      <c r="C250" s="248"/>
      <c r="D250" s="248"/>
      <c r="E250" s="257"/>
      <c r="F250" s="257"/>
      <c r="G250" s="257"/>
      <c r="H250" s="173">
        <f t="shared" si="71"/>
        <v>200000.29000000004</v>
      </c>
      <c r="I250" s="173">
        <f>5882696.97-1991505.05+200030.98-30.69-3891191.92</f>
        <v>200000.29000000004</v>
      </c>
      <c r="J250" s="173">
        <f>5050505.05+1991505.05-7042010.1</f>
        <v>0</v>
      </c>
      <c r="K250" s="173"/>
      <c r="L250" s="43" t="s">
        <v>402</v>
      </c>
      <c r="M250" s="45" t="s">
        <v>403</v>
      </c>
      <c r="N250" s="45"/>
      <c r="O250" s="393"/>
      <c r="P250" s="83"/>
    </row>
    <row r="251" spans="1:16" ht="30.75" customHeight="1" x14ac:dyDescent="0.2">
      <c r="A251" s="141" t="s">
        <v>176</v>
      </c>
      <c r="B251" s="147" t="s">
        <v>384</v>
      </c>
      <c r="C251" s="248"/>
      <c r="D251" s="248"/>
      <c r="E251" s="257"/>
      <c r="F251" s="257"/>
      <c r="G251" s="257"/>
      <c r="H251" s="8">
        <f t="shared" si="71"/>
        <v>30.69</v>
      </c>
      <c r="I251" s="173">
        <v>30.69</v>
      </c>
      <c r="J251" s="173"/>
      <c r="K251" s="173"/>
      <c r="L251" s="43"/>
      <c r="M251" s="45"/>
      <c r="N251" s="45"/>
      <c r="O251" s="393"/>
      <c r="P251" s="83"/>
    </row>
    <row r="252" spans="1:16" ht="30.75" customHeight="1" x14ac:dyDescent="0.2">
      <c r="A252" s="141" t="s">
        <v>176</v>
      </c>
      <c r="B252" s="147" t="s">
        <v>408</v>
      </c>
      <c r="C252" s="248"/>
      <c r="D252" s="248"/>
      <c r="E252" s="257"/>
      <c r="F252" s="257"/>
      <c r="G252" s="257"/>
      <c r="H252" s="8">
        <f t="shared" si="71"/>
        <v>10933202.02</v>
      </c>
      <c r="I252" s="173">
        <v>3891191.92</v>
      </c>
      <c r="J252" s="173">
        <v>7042010.0999999996</v>
      </c>
      <c r="K252" s="173"/>
      <c r="L252" s="43" t="s">
        <v>406</v>
      </c>
      <c r="M252" s="45" t="s">
        <v>407</v>
      </c>
      <c r="N252" s="45"/>
      <c r="O252" s="393"/>
      <c r="P252" s="83"/>
    </row>
    <row r="253" spans="1:16" ht="30.75" customHeight="1" x14ac:dyDescent="0.2">
      <c r="A253" s="141" t="s">
        <v>175</v>
      </c>
      <c r="B253" s="147" t="s">
        <v>73</v>
      </c>
      <c r="C253" s="248"/>
      <c r="D253" s="162"/>
      <c r="E253" s="257"/>
      <c r="F253" s="257"/>
      <c r="G253" s="257"/>
      <c r="H253" s="8">
        <f t="shared" si="71"/>
        <v>319108963.95999998</v>
      </c>
      <c r="I253" s="173">
        <v>178257000</v>
      </c>
      <c r="J253" s="173">
        <f>160655031.1-19803067.14</f>
        <v>140851963.95999998</v>
      </c>
      <c r="K253" s="173"/>
      <c r="L253" s="43"/>
      <c r="M253" s="144"/>
      <c r="N253" s="144"/>
    </row>
    <row r="254" spans="1:16" ht="30.75" customHeight="1" x14ac:dyDescent="0.2">
      <c r="A254" s="204" t="s">
        <v>177</v>
      </c>
      <c r="B254" s="205" t="s">
        <v>385</v>
      </c>
      <c r="C254" s="402"/>
      <c r="D254" s="295"/>
      <c r="E254" s="277"/>
      <c r="F254" s="277"/>
      <c r="G254" s="277"/>
      <c r="H254" s="8">
        <f t="shared" si="71"/>
        <v>3038.02</v>
      </c>
      <c r="I254" s="195">
        <v>3038.02</v>
      </c>
      <c r="J254" s="195"/>
      <c r="K254" s="195"/>
      <c r="L254" s="43"/>
      <c r="M254" s="144"/>
      <c r="N254" s="144"/>
    </row>
    <row r="255" spans="1:16" ht="30" customHeight="1" x14ac:dyDescent="0.2">
      <c r="A255" s="204" t="s">
        <v>177</v>
      </c>
      <c r="B255" s="205" t="s">
        <v>356</v>
      </c>
      <c r="C255" s="402"/>
      <c r="D255" s="295"/>
      <c r="E255" s="277"/>
      <c r="F255" s="277"/>
      <c r="G255" s="277"/>
      <c r="H255" s="14">
        <f t="shared" si="71"/>
        <v>19800029.120000005</v>
      </c>
      <c r="I255" s="195">
        <f>582387000-197159000+19803067.14-3038.02-385228000</f>
        <v>19800029.120000005</v>
      </c>
      <c r="J255" s="195">
        <f>500000000+197159000-697159000</f>
        <v>0</v>
      </c>
      <c r="K255" s="195"/>
      <c r="L255" s="43" t="s">
        <v>404</v>
      </c>
      <c r="M255" s="43" t="s">
        <v>405</v>
      </c>
      <c r="N255" s="144"/>
      <c r="O255" s="83"/>
    </row>
    <row r="256" spans="1:16" ht="30" customHeight="1" x14ac:dyDescent="0.2">
      <c r="A256" s="204" t="s">
        <v>177</v>
      </c>
      <c r="B256" s="205" t="s">
        <v>412</v>
      </c>
      <c r="C256" s="402"/>
      <c r="D256" s="295"/>
      <c r="E256" s="277"/>
      <c r="F256" s="277"/>
      <c r="G256" s="277"/>
      <c r="H256" s="8">
        <f t="shared" si="71"/>
        <v>1082387000</v>
      </c>
      <c r="I256" s="195">
        <v>385228000</v>
      </c>
      <c r="J256" s="195">
        <v>697159000</v>
      </c>
      <c r="K256" s="195"/>
      <c r="L256" s="43" t="s">
        <v>409</v>
      </c>
      <c r="M256" s="43" t="s">
        <v>410</v>
      </c>
      <c r="N256" s="144"/>
      <c r="O256" s="83"/>
    </row>
    <row r="257" spans="1:14" ht="38.25" x14ac:dyDescent="0.2">
      <c r="A257" s="9" t="s">
        <v>81</v>
      </c>
      <c r="B257" s="147"/>
      <c r="C257" s="162"/>
      <c r="D257" s="162"/>
      <c r="E257" s="257"/>
      <c r="F257" s="257"/>
      <c r="G257" s="257"/>
      <c r="H257" s="89">
        <f t="shared" si="71"/>
        <v>3020733.33</v>
      </c>
      <c r="I257" s="296">
        <v>3020733.33</v>
      </c>
      <c r="J257" s="173"/>
      <c r="K257" s="173"/>
      <c r="L257" s="43"/>
      <c r="M257" s="144"/>
      <c r="N257" s="144"/>
    </row>
    <row r="258" spans="1:14" ht="39" thickBot="1" x14ac:dyDescent="0.25">
      <c r="A258" s="15" t="s">
        <v>187</v>
      </c>
      <c r="B258" s="206"/>
      <c r="C258" s="163"/>
      <c r="D258" s="163"/>
      <c r="E258" s="193"/>
      <c r="F258" s="193"/>
      <c r="G258" s="193"/>
      <c r="H258" s="73">
        <f>I258</f>
        <v>299052599.69999999</v>
      </c>
      <c r="I258" s="293">
        <v>299052599.69999999</v>
      </c>
      <c r="J258" s="174"/>
      <c r="K258" s="174"/>
      <c r="L258" s="43"/>
      <c r="M258" s="144"/>
      <c r="N258" s="144"/>
    </row>
    <row r="259" spans="1:14" ht="69" customHeight="1" x14ac:dyDescent="0.2">
      <c r="A259" s="167" t="s">
        <v>104</v>
      </c>
      <c r="B259" s="30" t="s">
        <v>105</v>
      </c>
      <c r="C259" s="196" t="s">
        <v>273</v>
      </c>
      <c r="D259" s="31" t="s">
        <v>106</v>
      </c>
      <c r="E259" s="179">
        <v>348334790</v>
      </c>
      <c r="F259" s="179">
        <v>3342952</v>
      </c>
      <c r="G259" s="179">
        <f>E259-F259</f>
        <v>344991838</v>
      </c>
      <c r="H259" s="29">
        <f>SUM(I259:K259)</f>
        <v>306184629.86000001</v>
      </c>
      <c r="I259" s="179">
        <f>SUM(I260:I262)</f>
        <v>306184629.86000001</v>
      </c>
      <c r="J259" s="179">
        <f>SUM(J260:J262)</f>
        <v>0</v>
      </c>
      <c r="K259" s="179">
        <f>SUM(K260:K262)</f>
        <v>0</v>
      </c>
      <c r="L259" s="43"/>
      <c r="M259" s="144"/>
      <c r="N259" s="144"/>
    </row>
    <row r="260" spans="1:14" ht="25.5" customHeight="1" x14ac:dyDescent="0.2">
      <c r="A260" s="141" t="s">
        <v>179</v>
      </c>
      <c r="B260" s="147" t="s">
        <v>118</v>
      </c>
      <c r="C260" s="11"/>
      <c r="D260" s="11"/>
      <c r="E260" s="173"/>
      <c r="F260" s="173"/>
      <c r="G260" s="173"/>
      <c r="H260" s="8">
        <f>SUM(I260:K260)</f>
        <v>3019944.87</v>
      </c>
      <c r="I260" s="173">
        <v>3019944.87</v>
      </c>
      <c r="J260" s="173"/>
      <c r="K260" s="173"/>
      <c r="L260" s="144"/>
      <c r="M260" s="144"/>
    </row>
    <row r="261" spans="1:14" ht="26.25" customHeight="1" x14ac:dyDescent="0.2">
      <c r="A261" s="141" t="s">
        <v>179</v>
      </c>
      <c r="B261" s="147" t="s">
        <v>364</v>
      </c>
      <c r="C261" s="11"/>
      <c r="D261" s="11"/>
      <c r="E261" s="173"/>
      <c r="F261" s="173"/>
      <c r="G261" s="173"/>
      <c r="H261" s="8">
        <f>SUM(I261:K261)</f>
        <v>4190142.92</v>
      </c>
      <c r="I261" s="173">
        <v>4190142.92</v>
      </c>
      <c r="J261" s="173"/>
      <c r="K261" s="173"/>
      <c r="L261" s="144" t="s">
        <v>418</v>
      </c>
      <c r="M261" s="393"/>
      <c r="N261" s="83"/>
    </row>
    <row r="262" spans="1:14" ht="26.25" customHeight="1" x14ac:dyDescent="0.2">
      <c r="A262" s="141" t="s">
        <v>180</v>
      </c>
      <c r="B262" s="147" t="s">
        <v>117</v>
      </c>
      <c r="C262" s="11"/>
      <c r="D262" s="11"/>
      <c r="E262" s="173"/>
      <c r="F262" s="173"/>
      <c r="G262" s="173"/>
      <c r="H262" s="8">
        <f>SUM(I262:K262)</f>
        <v>298974542.06999999</v>
      </c>
      <c r="I262" s="173">
        <f>147703735.43+130974999.99+20295806.65</f>
        <v>298974542.06999999</v>
      </c>
      <c r="J262" s="173"/>
      <c r="K262" s="173"/>
      <c r="L262" s="144"/>
      <c r="M262" s="144"/>
      <c r="N262" s="83"/>
    </row>
    <row r="263" spans="1:14" ht="38.25" x14ac:dyDescent="0.2">
      <c r="A263" s="9" t="s">
        <v>81</v>
      </c>
      <c r="B263" s="147"/>
      <c r="C263" s="191"/>
      <c r="D263" s="191"/>
      <c r="E263" s="173"/>
      <c r="F263" s="173"/>
      <c r="G263" s="173"/>
      <c r="H263" s="89">
        <f>I263+J263+K263</f>
        <v>192897.77</v>
      </c>
      <c r="I263" s="296">
        <v>192897.77</v>
      </c>
      <c r="J263" s="173"/>
      <c r="K263" s="173"/>
      <c r="L263" s="144"/>
      <c r="M263" s="144"/>
    </row>
    <row r="264" spans="1:14" ht="39" thickBot="1" x14ac:dyDescent="0.25">
      <c r="A264" s="15" t="s">
        <v>187</v>
      </c>
      <c r="B264" s="206"/>
      <c r="C264" s="286"/>
      <c r="D264" s="286"/>
      <c r="E264" s="174"/>
      <c r="F264" s="174"/>
      <c r="G264" s="174"/>
      <c r="H264" s="73">
        <f>I264</f>
        <v>3665057.92</v>
      </c>
      <c r="I264" s="293">
        <v>3665057.92</v>
      </c>
      <c r="J264" s="174"/>
      <c r="K264" s="174"/>
      <c r="L264" s="144"/>
      <c r="M264" s="144"/>
    </row>
    <row r="265" spans="1:14" ht="53.25" customHeight="1" thickBot="1" x14ac:dyDescent="0.25">
      <c r="A265" s="10" t="s">
        <v>100</v>
      </c>
      <c r="B265" s="216"/>
      <c r="C265" s="212"/>
      <c r="D265" s="212"/>
      <c r="E265" s="272"/>
      <c r="F265" s="272"/>
      <c r="G265" s="272"/>
      <c r="H265" s="322">
        <f>I265+J265+K265</f>
        <v>117583484</v>
      </c>
      <c r="I265" s="322">
        <f t="shared" ref="I265:K266" si="73">I266</f>
        <v>117583484</v>
      </c>
      <c r="J265" s="322">
        <f t="shared" si="73"/>
        <v>0</v>
      </c>
      <c r="K265" s="322">
        <f t="shared" si="73"/>
        <v>0</v>
      </c>
      <c r="L265" s="43"/>
      <c r="M265" s="144"/>
      <c r="N265" s="144"/>
    </row>
    <row r="266" spans="1:14" ht="27.75" customHeight="1" thickBot="1" x14ac:dyDescent="0.25">
      <c r="A266" s="46" t="s">
        <v>101</v>
      </c>
      <c r="B266" s="217"/>
      <c r="C266" s="91"/>
      <c r="D266" s="91"/>
      <c r="E266" s="278"/>
      <c r="F266" s="278"/>
      <c r="G266" s="278"/>
      <c r="H266" s="47">
        <f>I266+J266+K266</f>
        <v>117583484</v>
      </c>
      <c r="I266" s="47">
        <f t="shared" si="73"/>
        <v>117583484</v>
      </c>
      <c r="J266" s="47">
        <f t="shared" si="73"/>
        <v>0</v>
      </c>
      <c r="K266" s="47">
        <f t="shared" si="73"/>
        <v>0</v>
      </c>
      <c r="L266" s="43"/>
      <c r="M266" s="144"/>
      <c r="N266" s="144"/>
    </row>
    <row r="267" spans="1:14" ht="65.25" customHeight="1" x14ac:dyDescent="0.2">
      <c r="A267" s="75" t="s">
        <v>333</v>
      </c>
      <c r="B267" s="30" t="s">
        <v>57</v>
      </c>
      <c r="C267" s="31" t="s">
        <v>133</v>
      </c>
      <c r="D267" s="28" t="s">
        <v>26</v>
      </c>
      <c r="E267" s="175">
        <v>138102102</v>
      </c>
      <c r="F267" s="179">
        <v>17305761.73</v>
      </c>
      <c r="G267" s="175">
        <f>E267-F267</f>
        <v>120796340.27</v>
      </c>
      <c r="H267" s="29">
        <f>SUM(I267:K267)</f>
        <v>117583484</v>
      </c>
      <c r="I267" s="29">
        <f>SUM(I268:I271)</f>
        <v>117583484</v>
      </c>
      <c r="J267" s="29">
        <f>SUM(J269:J271)</f>
        <v>0</v>
      </c>
      <c r="K267" s="29">
        <f>SUM(K269:K271)</f>
        <v>0</v>
      </c>
      <c r="L267" s="45"/>
      <c r="M267" s="144"/>
      <c r="N267" s="144"/>
    </row>
    <row r="268" spans="1:14" ht="26.25" customHeight="1" x14ac:dyDescent="0.2">
      <c r="A268" s="141" t="s">
        <v>286</v>
      </c>
      <c r="B268" s="147" t="s">
        <v>93</v>
      </c>
      <c r="C268" s="239"/>
      <c r="D268" s="336"/>
      <c r="E268" s="146"/>
      <c r="F268" s="337"/>
      <c r="G268" s="146"/>
      <c r="H268" s="8">
        <f>SUM(I268:K268)</f>
        <v>497410</v>
      </c>
      <c r="I268" s="292">
        <v>497410</v>
      </c>
      <c r="J268" s="292"/>
      <c r="K268" s="292"/>
      <c r="L268" s="43" t="s">
        <v>419</v>
      </c>
      <c r="M268" s="144"/>
      <c r="N268" s="144"/>
    </row>
    <row r="269" spans="1:14" ht="42.75" customHeight="1" x14ac:dyDescent="0.2">
      <c r="A269" s="141" t="s">
        <v>102</v>
      </c>
      <c r="B269" s="147" t="s">
        <v>251</v>
      </c>
      <c r="C269" s="11"/>
      <c r="D269" s="11"/>
      <c r="E269" s="149"/>
      <c r="F269" s="149"/>
      <c r="G269" s="149"/>
      <c r="H269" s="8">
        <f>SUM(I269:K269)</f>
        <v>1170861</v>
      </c>
      <c r="I269" s="8">
        <v>1170861</v>
      </c>
      <c r="J269" s="8"/>
      <c r="K269" s="8"/>
      <c r="L269" s="43"/>
      <c r="M269" s="144"/>
      <c r="N269" s="144"/>
    </row>
    <row r="270" spans="1:14" ht="38.25" x14ac:dyDescent="0.2">
      <c r="A270" s="141" t="s">
        <v>221</v>
      </c>
      <c r="B270" s="147" t="s">
        <v>252</v>
      </c>
      <c r="C270" s="11"/>
      <c r="D270" s="11"/>
      <c r="E270" s="149"/>
      <c r="F270" s="149"/>
      <c r="G270" s="149"/>
      <c r="H270" s="8">
        <f>SUM(I270:K270)</f>
        <v>6954913</v>
      </c>
      <c r="I270" s="173">
        <v>6954913</v>
      </c>
      <c r="J270" s="8"/>
      <c r="K270" s="8"/>
      <c r="L270" s="43"/>
      <c r="M270" s="144"/>
      <c r="N270" s="144"/>
    </row>
    <row r="271" spans="1:14" ht="38.25" x14ac:dyDescent="0.2">
      <c r="A271" s="141" t="s">
        <v>254</v>
      </c>
      <c r="B271" s="147" t="s">
        <v>253</v>
      </c>
      <c r="C271" s="11"/>
      <c r="D271" s="11"/>
      <c r="E271" s="149"/>
      <c r="F271" s="149"/>
      <c r="G271" s="149"/>
      <c r="H271" s="8">
        <f>SUM(I271:K271)</f>
        <v>108960300</v>
      </c>
      <c r="I271" s="173">
        <v>108960300</v>
      </c>
      <c r="J271" s="8"/>
      <c r="K271" s="8"/>
      <c r="L271" s="43"/>
      <c r="M271" s="144"/>
      <c r="N271" s="144"/>
    </row>
    <row r="272" spans="1:14" ht="38.25" x14ac:dyDescent="0.2">
      <c r="A272" s="9" t="s">
        <v>81</v>
      </c>
      <c r="B272" s="254"/>
      <c r="C272" s="11"/>
      <c r="D272" s="11"/>
      <c r="E272" s="149"/>
      <c r="F272" s="149"/>
      <c r="G272" s="149"/>
      <c r="H272" s="89">
        <f>I272+J272+K272</f>
        <v>41453.5</v>
      </c>
      <c r="I272" s="89">
        <v>41453.5</v>
      </c>
      <c r="J272" s="8"/>
      <c r="K272" s="8"/>
      <c r="L272" s="43"/>
      <c r="M272" s="144"/>
      <c r="N272" s="144"/>
    </row>
    <row r="273" spans="1:17" ht="38.25" x14ac:dyDescent="0.2">
      <c r="A273" s="9" t="s">
        <v>187</v>
      </c>
      <c r="B273" s="254"/>
      <c r="C273" s="11"/>
      <c r="D273" s="11"/>
      <c r="E273" s="149"/>
      <c r="F273" s="149"/>
      <c r="G273" s="149"/>
      <c r="H273" s="89">
        <f>I273+J273+K273</f>
        <v>246229.45</v>
      </c>
      <c r="I273" s="89">
        <v>246229.45</v>
      </c>
      <c r="J273" s="8"/>
      <c r="K273" s="8"/>
      <c r="L273" s="43"/>
      <c r="M273" s="144"/>
      <c r="N273" s="144"/>
    </row>
    <row r="274" spans="1:17" ht="39" thickBot="1" x14ac:dyDescent="0.25">
      <c r="A274" s="15" t="s">
        <v>188</v>
      </c>
      <c r="B274" s="255"/>
      <c r="C274" s="12"/>
      <c r="D274" s="12"/>
      <c r="E274" s="152"/>
      <c r="F274" s="152"/>
      <c r="G274" s="152"/>
      <c r="H274" s="73">
        <f>I274</f>
        <v>3857583.32</v>
      </c>
      <c r="I274" s="73">
        <v>3857583.32</v>
      </c>
      <c r="J274" s="13"/>
      <c r="K274" s="13"/>
      <c r="L274" s="43"/>
      <c r="M274" s="144"/>
      <c r="N274" s="144"/>
    </row>
    <row r="275" spans="1:17" ht="44.25" customHeight="1" thickBot="1" x14ac:dyDescent="0.25">
      <c r="A275" s="10" t="s">
        <v>66</v>
      </c>
      <c r="B275" s="90"/>
      <c r="C275" s="91"/>
      <c r="D275" s="91"/>
      <c r="E275" s="51"/>
      <c r="F275" s="51"/>
      <c r="G275" s="51"/>
      <c r="H275" s="57">
        <f t="shared" ref="H275:H281" si="74">I275+J275+K275</f>
        <v>419277524.41999996</v>
      </c>
      <c r="I275" s="57">
        <f t="shared" ref="I275:K276" si="75">I276</f>
        <v>298065403.20999998</v>
      </c>
      <c r="J275" s="57">
        <f t="shared" si="75"/>
        <v>121212121.20999999</v>
      </c>
      <c r="K275" s="57">
        <f t="shared" si="75"/>
        <v>0</v>
      </c>
      <c r="L275" s="44">
        <f>H277</f>
        <v>419277524.41999996</v>
      </c>
      <c r="M275" s="43"/>
    </row>
    <row r="276" spans="1:17" ht="23.25" customHeight="1" thickBot="1" x14ac:dyDescent="0.25">
      <c r="A276" s="82" t="s">
        <v>21</v>
      </c>
      <c r="B276" s="90"/>
      <c r="C276" s="91"/>
      <c r="D276" s="91"/>
      <c r="E276" s="51"/>
      <c r="F276" s="51"/>
      <c r="G276" s="51"/>
      <c r="H276" s="47">
        <f t="shared" si="74"/>
        <v>419277524.41999996</v>
      </c>
      <c r="I276" s="47">
        <f>I277</f>
        <v>298065403.20999998</v>
      </c>
      <c r="J276" s="47">
        <f t="shared" si="75"/>
        <v>121212121.20999999</v>
      </c>
      <c r="K276" s="47">
        <f t="shared" si="75"/>
        <v>0</v>
      </c>
      <c r="L276" s="44"/>
      <c r="M276" s="43"/>
    </row>
    <row r="277" spans="1:17" ht="42" customHeight="1" x14ac:dyDescent="0.2">
      <c r="A277" s="167" t="s">
        <v>17</v>
      </c>
      <c r="B277" s="169" t="s">
        <v>43</v>
      </c>
      <c r="C277" s="28" t="s">
        <v>367</v>
      </c>
      <c r="D277" s="28" t="s">
        <v>71</v>
      </c>
      <c r="E277" s="35">
        <v>494389398.38</v>
      </c>
      <c r="F277" s="179">
        <v>1051460</v>
      </c>
      <c r="G277" s="175">
        <f>E277-F277</f>
        <v>493337938.38</v>
      </c>
      <c r="H277" s="29">
        <f t="shared" si="74"/>
        <v>419277524.41999996</v>
      </c>
      <c r="I277" s="179">
        <f>SUM(I278:I280)</f>
        <v>298065403.20999998</v>
      </c>
      <c r="J277" s="179">
        <f>SUM(J279:J280)</f>
        <v>121212121.20999999</v>
      </c>
      <c r="K277" s="179">
        <f>SUM(K279:K280)</f>
        <v>0</v>
      </c>
      <c r="L277" s="44"/>
      <c r="M277" s="43"/>
    </row>
    <row r="278" spans="1:17" ht="29.25" customHeight="1" x14ac:dyDescent="0.2">
      <c r="A278" s="141" t="s">
        <v>283</v>
      </c>
      <c r="B278" s="147" t="s">
        <v>278</v>
      </c>
      <c r="C278" s="336"/>
      <c r="D278" s="336"/>
      <c r="E278" s="24"/>
      <c r="F278" s="337"/>
      <c r="G278" s="146"/>
      <c r="H278" s="8">
        <f t="shared" si="74"/>
        <v>150000</v>
      </c>
      <c r="I278" s="337">
        <v>150000</v>
      </c>
      <c r="J278" s="337"/>
      <c r="K278" s="337"/>
      <c r="L278" s="228"/>
      <c r="M278" s="43"/>
    </row>
    <row r="279" spans="1:17" ht="30.75" customHeight="1" x14ac:dyDescent="0.2">
      <c r="A279" s="9" t="s">
        <v>181</v>
      </c>
      <c r="B279" s="5" t="s">
        <v>7</v>
      </c>
      <c r="C279" s="11"/>
      <c r="D279" s="11"/>
      <c r="E279" s="149"/>
      <c r="F279" s="149"/>
      <c r="G279" s="149"/>
      <c r="H279" s="8">
        <f t="shared" si="74"/>
        <v>4191275.2399999998</v>
      </c>
      <c r="I279" s="173">
        <f>2378016.28+521212.12+79925.63</f>
        <v>2979154.03</v>
      </c>
      <c r="J279" s="173">
        <v>1212121.21</v>
      </c>
      <c r="K279" s="173"/>
      <c r="L279" s="43"/>
      <c r="M279" s="43"/>
      <c r="N279" s="43"/>
    </row>
    <row r="280" spans="1:17" ht="29.25" customHeight="1" x14ac:dyDescent="0.2">
      <c r="A280" s="170" t="s">
        <v>182</v>
      </c>
      <c r="B280" s="74" t="s">
        <v>6</v>
      </c>
      <c r="C280" s="297"/>
      <c r="D280" s="297"/>
      <c r="E280" s="276"/>
      <c r="F280" s="276"/>
      <c r="G280" s="276"/>
      <c r="H280" s="14">
        <f t="shared" si="74"/>
        <v>414936249.18000001</v>
      </c>
      <c r="I280" s="195">
        <f>235423611.9+51599999.99+7912637.29</f>
        <v>294936249.18000001</v>
      </c>
      <c r="J280" s="195">
        <v>120000000</v>
      </c>
      <c r="K280" s="195"/>
      <c r="L280" s="43"/>
      <c r="M280" s="43"/>
      <c r="N280" s="45"/>
    </row>
    <row r="281" spans="1:17" ht="38.25" x14ac:dyDescent="0.2">
      <c r="A281" s="9" t="s">
        <v>81</v>
      </c>
      <c r="B281" s="5"/>
      <c r="C281" s="11"/>
      <c r="D281" s="11"/>
      <c r="E281" s="149"/>
      <c r="F281" s="149"/>
      <c r="G281" s="149"/>
      <c r="H281" s="89">
        <f t="shared" si="74"/>
        <v>4922.8599999999997</v>
      </c>
      <c r="I281" s="296">
        <v>4922.8599999999997</v>
      </c>
      <c r="J281" s="173"/>
      <c r="K281" s="173"/>
      <c r="L281" s="43"/>
      <c r="M281" s="43"/>
      <c r="N281" s="43"/>
    </row>
    <row r="282" spans="1:17" ht="39" thickBot="1" x14ac:dyDescent="0.25">
      <c r="A282" s="15" t="s">
        <v>187</v>
      </c>
      <c r="B282" s="6"/>
      <c r="C282" s="12"/>
      <c r="D282" s="12"/>
      <c r="E282" s="152"/>
      <c r="F282" s="152"/>
      <c r="G282" s="152"/>
      <c r="H282" s="73">
        <f>I282</f>
        <v>487362.72</v>
      </c>
      <c r="I282" s="293">
        <v>487362.72</v>
      </c>
      <c r="J282" s="174"/>
      <c r="K282" s="174"/>
      <c r="L282" s="43"/>
      <c r="M282" s="43"/>
      <c r="N282" s="43"/>
      <c r="O282" s="388">
        <v>2024</v>
      </c>
      <c r="P282" s="388">
        <v>2025</v>
      </c>
      <c r="Q282" s="388">
        <v>2026</v>
      </c>
    </row>
    <row r="283" spans="1:17" ht="24.75" customHeight="1" thickBot="1" x14ac:dyDescent="0.25">
      <c r="A283" s="424" t="s">
        <v>58</v>
      </c>
      <c r="B283" s="425"/>
      <c r="C283" s="52"/>
      <c r="D283" s="52"/>
      <c r="E283" s="53"/>
      <c r="F283" s="53"/>
      <c r="G283" s="53"/>
      <c r="H283" s="50">
        <f>H176+H221+H275+H265</f>
        <v>4051441271.5100002</v>
      </c>
      <c r="I283" s="50">
        <f>SUM(I284:I332)</f>
        <v>2886734298.1400003</v>
      </c>
      <c r="J283" s="50">
        <f>SUM(J284:J332)</f>
        <v>1085372573.23</v>
      </c>
      <c r="K283" s="50">
        <f>SUM(K284:K332)</f>
        <v>79334400.140000001</v>
      </c>
      <c r="L283" s="3">
        <f>I283+J283+K283</f>
        <v>4051441271.5100002</v>
      </c>
      <c r="M283" s="64">
        <f>SUM(H284:H332)</f>
        <v>4051441271.5099998</v>
      </c>
      <c r="N283" s="227" t="s">
        <v>124</v>
      </c>
      <c r="O283" s="83">
        <f>I284+I288+I290+I292+I294+I296+I300+I305+I310+I311+I315+I316+I323+I327+I331+I299+I303+I306+I326+I330+I285+I324+I286+I317+I252</f>
        <v>43391829.930000007</v>
      </c>
      <c r="P283" s="83">
        <f t="shared" ref="P283:Q283" si="76">J284+J288+J290+J292+J294+J296+J300+J305+J310+J311+J315+J316+J323+J327+J331+J299+J303+J306+J326+J330+J285+J324+J286+J317+J252</f>
        <v>15751144.389999999</v>
      </c>
      <c r="Q283" s="83">
        <f t="shared" si="76"/>
        <v>3966720.01</v>
      </c>
    </row>
    <row r="284" spans="1:17" ht="25.5" x14ac:dyDescent="0.2">
      <c r="A284" s="125" t="s">
        <v>22</v>
      </c>
      <c r="B284" s="79" t="s">
        <v>93</v>
      </c>
      <c r="C284" s="72"/>
      <c r="D284" s="72"/>
      <c r="E284" s="68"/>
      <c r="F284" s="68"/>
      <c r="G284" s="68"/>
      <c r="H284" s="29">
        <f t="shared" ref="H284:H331" si="77">I284+J284+K284</f>
        <v>8249098.3300000001</v>
      </c>
      <c r="I284" s="68">
        <f>I195+I179+I187+I197</f>
        <v>8249098.3300000001</v>
      </c>
      <c r="J284" s="68">
        <f t="shared" ref="J284:K284" si="78">J195+J179+J187+J197</f>
        <v>0</v>
      </c>
      <c r="K284" s="68">
        <f t="shared" si="78"/>
        <v>0</v>
      </c>
      <c r="L284" s="104"/>
      <c r="M284" s="64"/>
      <c r="N284" s="227" t="s">
        <v>125</v>
      </c>
      <c r="O284" s="83">
        <f>I289+I291+I293+I295+I297+I301+I308+I312+I313+I319+I320+I325+I328+I332+I307+I287+I304+I321+I256</f>
        <v>1568442368.2099998</v>
      </c>
      <c r="P284" s="83">
        <f t="shared" ref="P284:Q284" si="79">J289+J291+J293+J295+J297+J301+J308+J312+J313+J319+J320+J325+J328+J332+J307+J287+J304+J321+J256</f>
        <v>1069621428.8399999</v>
      </c>
      <c r="Q284" s="83">
        <f t="shared" si="79"/>
        <v>75367680.129999995</v>
      </c>
    </row>
    <row r="285" spans="1:17" ht="25.5" x14ac:dyDescent="0.2">
      <c r="A285" s="141" t="s">
        <v>292</v>
      </c>
      <c r="B285" s="147" t="s">
        <v>293</v>
      </c>
      <c r="C285" s="98"/>
      <c r="D285" s="98"/>
      <c r="E285" s="69"/>
      <c r="F285" s="69"/>
      <c r="G285" s="69"/>
      <c r="H285" s="8">
        <f t="shared" si="77"/>
        <v>79494.240000000005</v>
      </c>
      <c r="I285" s="69">
        <f t="shared" ref="I285:K287" si="80">I191</f>
        <v>79494.240000000005</v>
      </c>
      <c r="J285" s="69">
        <f t="shared" si="80"/>
        <v>0</v>
      </c>
      <c r="K285" s="69">
        <f t="shared" si="80"/>
        <v>0</v>
      </c>
      <c r="L285" s="104"/>
      <c r="M285" s="64"/>
      <c r="N285" s="227" t="s">
        <v>126</v>
      </c>
      <c r="O285" s="83">
        <f>I298+I302+I309+I314+I329</f>
        <v>1274900100</v>
      </c>
      <c r="P285" s="83">
        <f>J298+J302+J309+J314+J329</f>
        <v>0</v>
      </c>
      <c r="Q285" s="83">
        <f>K298+K302+K309+K314+K329</f>
        <v>0</v>
      </c>
    </row>
    <row r="286" spans="1:17" ht="25.5" x14ac:dyDescent="0.2">
      <c r="A286" s="141" t="s">
        <v>292</v>
      </c>
      <c r="B286" s="147" t="s">
        <v>377</v>
      </c>
      <c r="C286" s="98"/>
      <c r="D286" s="98"/>
      <c r="E286" s="69"/>
      <c r="F286" s="69"/>
      <c r="G286" s="69"/>
      <c r="H286" s="8">
        <f t="shared" si="77"/>
        <v>313625.59000000003</v>
      </c>
      <c r="I286" s="69">
        <f t="shared" si="80"/>
        <v>313625.59000000003</v>
      </c>
      <c r="J286" s="69">
        <f t="shared" si="80"/>
        <v>0</v>
      </c>
      <c r="K286" s="69">
        <f t="shared" si="80"/>
        <v>0</v>
      </c>
      <c r="L286" s="104"/>
      <c r="M286" s="64"/>
      <c r="N286" s="227"/>
      <c r="O286" s="83"/>
      <c r="P286" s="83"/>
      <c r="Q286" s="83"/>
    </row>
    <row r="287" spans="1:17" ht="25.5" x14ac:dyDescent="0.2">
      <c r="A287" s="141" t="s">
        <v>351</v>
      </c>
      <c r="B287" s="147" t="s">
        <v>293</v>
      </c>
      <c r="C287" s="98"/>
      <c r="D287" s="98"/>
      <c r="E287" s="69"/>
      <c r="F287" s="69"/>
      <c r="G287" s="69"/>
      <c r="H287" s="8">
        <f t="shared" si="77"/>
        <v>1510390.61</v>
      </c>
      <c r="I287" s="69">
        <f t="shared" si="80"/>
        <v>1510390.61</v>
      </c>
      <c r="J287" s="69">
        <f t="shared" si="80"/>
        <v>0</v>
      </c>
      <c r="K287" s="69">
        <f t="shared" si="80"/>
        <v>0</v>
      </c>
      <c r="L287" s="104"/>
      <c r="M287" s="64"/>
      <c r="N287" s="227"/>
      <c r="O287" s="83"/>
      <c r="P287" s="83"/>
      <c r="Q287" s="83"/>
    </row>
    <row r="288" spans="1:17" ht="25.5" x14ac:dyDescent="0.2">
      <c r="A288" s="371" t="s">
        <v>173</v>
      </c>
      <c r="B288" s="209" t="s">
        <v>201</v>
      </c>
      <c r="C288" s="98"/>
      <c r="D288" s="98"/>
      <c r="E288" s="69"/>
      <c r="F288" s="69"/>
      <c r="G288" s="69"/>
      <c r="H288" s="8">
        <f t="shared" si="77"/>
        <v>4542120</v>
      </c>
      <c r="I288" s="69">
        <f t="shared" ref="I288:K289" si="81">I184</f>
        <v>0</v>
      </c>
      <c r="J288" s="69">
        <f t="shared" si="81"/>
        <v>2249999.9900000002</v>
      </c>
      <c r="K288" s="69">
        <f t="shared" si="81"/>
        <v>2292120.0099999998</v>
      </c>
      <c r="L288" s="104"/>
      <c r="M288" s="64">
        <f>I283-O288</f>
        <v>0</v>
      </c>
      <c r="N288" s="389" t="s">
        <v>366</v>
      </c>
      <c r="O288" s="83">
        <f>SUM(O283:O285)</f>
        <v>2886734298.1399999</v>
      </c>
      <c r="P288" s="83">
        <f>SUM(P283:P285)</f>
        <v>1085372573.23</v>
      </c>
      <c r="Q288" s="83">
        <f>SUM(Q283:Q285)</f>
        <v>79334400.140000001</v>
      </c>
    </row>
    <row r="289" spans="1:15" ht="25.5" x14ac:dyDescent="0.2">
      <c r="A289" s="141" t="s">
        <v>174</v>
      </c>
      <c r="B289" s="147" t="s">
        <v>202</v>
      </c>
      <c r="C289" s="100"/>
      <c r="D289" s="100"/>
      <c r="E289" s="86"/>
      <c r="F289" s="86"/>
      <c r="G289" s="86"/>
      <c r="H289" s="8">
        <f t="shared" si="77"/>
        <v>86300280.010000005</v>
      </c>
      <c r="I289" s="69">
        <f t="shared" si="81"/>
        <v>0</v>
      </c>
      <c r="J289" s="69">
        <f t="shared" si="81"/>
        <v>42749999.880000003</v>
      </c>
      <c r="K289" s="69">
        <f t="shared" si="81"/>
        <v>43550280.130000003</v>
      </c>
      <c r="L289" s="3"/>
      <c r="M289" s="64"/>
    </row>
    <row r="290" spans="1:15" ht="25.5" x14ac:dyDescent="0.2">
      <c r="A290" s="219" t="s">
        <v>173</v>
      </c>
      <c r="B290" s="76" t="s">
        <v>203</v>
      </c>
      <c r="C290" s="101"/>
      <c r="D290" s="96"/>
      <c r="E290" s="97"/>
      <c r="F290" s="97"/>
      <c r="G290" s="97"/>
      <c r="H290" s="8">
        <f t="shared" si="77"/>
        <v>2124235</v>
      </c>
      <c r="I290" s="8">
        <f t="shared" ref="I290:K291" si="82">I180</f>
        <v>0</v>
      </c>
      <c r="J290" s="8">
        <f t="shared" si="82"/>
        <v>2124235</v>
      </c>
      <c r="K290" s="8">
        <f t="shared" si="82"/>
        <v>0</v>
      </c>
      <c r="M290" s="43"/>
    </row>
    <row r="291" spans="1:15" ht="25.5" x14ac:dyDescent="0.2">
      <c r="A291" s="141" t="s">
        <v>174</v>
      </c>
      <c r="B291" s="147" t="s">
        <v>204</v>
      </c>
      <c r="C291" s="101"/>
      <c r="D291" s="96"/>
      <c r="E291" s="97"/>
      <c r="F291" s="97"/>
      <c r="G291" s="97"/>
      <c r="H291" s="8">
        <f t="shared" si="77"/>
        <v>40360465</v>
      </c>
      <c r="I291" s="8">
        <f t="shared" si="82"/>
        <v>0</v>
      </c>
      <c r="J291" s="8">
        <f t="shared" si="82"/>
        <v>40360465</v>
      </c>
      <c r="K291" s="8">
        <f t="shared" si="82"/>
        <v>0</v>
      </c>
      <c r="M291" s="43"/>
    </row>
    <row r="292" spans="1:15" ht="25.5" x14ac:dyDescent="0.2">
      <c r="A292" s="219" t="s">
        <v>173</v>
      </c>
      <c r="B292" s="76" t="s">
        <v>205</v>
      </c>
      <c r="C292" s="101"/>
      <c r="D292" s="96"/>
      <c r="E292" s="97"/>
      <c r="F292" s="97"/>
      <c r="G292" s="97"/>
      <c r="H292" s="8">
        <f t="shared" si="77"/>
        <v>3174600</v>
      </c>
      <c r="I292" s="8">
        <f t="shared" ref="I292:K293" si="83">I188</f>
        <v>0</v>
      </c>
      <c r="J292" s="8">
        <f t="shared" si="83"/>
        <v>1500000</v>
      </c>
      <c r="K292" s="8">
        <f t="shared" si="83"/>
        <v>1674600</v>
      </c>
      <c r="M292" s="43"/>
      <c r="O292" s="388" t="s">
        <v>136</v>
      </c>
    </row>
    <row r="293" spans="1:15" ht="25.5" x14ac:dyDescent="0.2">
      <c r="A293" s="141" t="s">
        <v>174</v>
      </c>
      <c r="B293" s="147" t="s">
        <v>206</v>
      </c>
      <c r="C293" s="101"/>
      <c r="D293" s="96"/>
      <c r="E293" s="97"/>
      <c r="F293" s="97"/>
      <c r="G293" s="97"/>
      <c r="H293" s="8">
        <f t="shared" si="77"/>
        <v>60317400</v>
      </c>
      <c r="I293" s="8">
        <f t="shared" si="83"/>
        <v>0</v>
      </c>
      <c r="J293" s="8">
        <f t="shared" si="83"/>
        <v>28500000</v>
      </c>
      <c r="K293" s="8">
        <f t="shared" si="83"/>
        <v>31817400</v>
      </c>
      <c r="M293" s="43"/>
      <c r="N293" s="227" t="s">
        <v>124</v>
      </c>
      <c r="O293" s="83">
        <f>O283+P283+Q283</f>
        <v>63109694.330000006</v>
      </c>
    </row>
    <row r="294" spans="1:15" ht="25.5" x14ac:dyDescent="0.2">
      <c r="A294" s="318" t="s">
        <v>154</v>
      </c>
      <c r="B294" s="319" t="s">
        <v>207</v>
      </c>
      <c r="C294" s="101"/>
      <c r="D294" s="96"/>
      <c r="E294" s="97"/>
      <c r="F294" s="97"/>
      <c r="G294" s="97"/>
      <c r="H294" s="8">
        <f t="shared" si="77"/>
        <v>43621.32</v>
      </c>
      <c r="I294" s="8">
        <f t="shared" ref="I294:K295" si="84">I219</f>
        <v>43621.32</v>
      </c>
      <c r="J294" s="8">
        <f t="shared" si="84"/>
        <v>0</v>
      </c>
      <c r="K294" s="8">
        <f t="shared" si="84"/>
        <v>0</v>
      </c>
      <c r="M294" s="43"/>
      <c r="N294" s="227" t="s">
        <v>125</v>
      </c>
      <c r="O294" s="83">
        <f>O284+P284+Q284</f>
        <v>2713431477.1799998</v>
      </c>
    </row>
    <row r="295" spans="1:15" ht="25.5" x14ac:dyDescent="0.2">
      <c r="A295" s="320" t="s">
        <v>155</v>
      </c>
      <c r="B295" s="147" t="s">
        <v>208</v>
      </c>
      <c r="C295" s="101"/>
      <c r="D295" s="96"/>
      <c r="E295" s="97"/>
      <c r="F295" s="97"/>
      <c r="G295" s="97"/>
      <c r="H295" s="8">
        <f t="shared" si="77"/>
        <v>4318510.4000000004</v>
      </c>
      <c r="I295" s="8">
        <f t="shared" si="84"/>
        <v>4318510.4000000004</v>
      </c>
      <c r="J295" s="8">
        <f t="shared" si="84"/>
        <v>0</v>
      </c>
      <c r="K295" s="8">
        <f t="shared" si="84"/>
        <v>0</v>
      </c>
      <c r="M295" s="43"/>
      <c r="N295" s="227" t="s">
        <v>126</v>
      </c>
      <c r="O295" s="83">
        <f>O285+P285+Q285</f>
        <v>1274900100</v>
      </c>
    </row>
    <row r="296" spans="1:15" ht="25.5" x14ac:dyDescent="0.2">
      <c r="A296" s="141" t="s">
        <v>217</v>
      </c>
      <c r="B296" s="147" t="s">
        <v>114</v>
      </c>
      <c r="C296" s="101"/>
      <c r="D296" s="96"/>
      <c r="E296" s="97"/>
      <c r="F296" s="97"/>
      <c r="G296" s="97"/>
      <c r="H296" s="8">
        <f t="shared" si="77"/>
        <v>1228474.28</v>
      </c>
      <c r="I296" s="8">
        <f t="shared" ref="I296:K298" si="85">I200</f>
        <v>1228474.28</v>
      </c>
      <c r="J296" s="8">
        <f t="shared" si="85"/>
        <v>0</v>
      </c>
      <c r="K296" s="8">
        <f t="shared" si="85"/>
        <v>0</v>
      </c>
      <c r="M296" s="43"/>
      <c r="N296" s="227"/>
      <c r="O296" s="83">
        <f>O288+P288+Q288</f>
        <v>4051441271.5099998</v>
      </c>
    </row>
    <row r="297" spans="1:15" ht="25.5" x14ac:dyDescent="0.2">
      <c r="A297" s="141" t="s">
        <v>157</v>
      </c>
      <c r="B297" s="147" t="s">
        <v>113</v>
      </c>
      <c r="C297" s="101"/>
      <c r="D297" s="96"/>
      <c r="E297" s="97"/>
      <c r="F297" s="97"/>
      <c r="G297" s="97"/>
      <c r="H297" s="8">
        <f t="shared" si="77"/>
        <v>4170000</v>
      </c>
      <c r="I297" s="8">
        <f t="shared" si="85"/>
        <v>4170000</v>
      </c>
      <c r="J297" s="8">
        <f t="shared" si="85"/>
        <v>0</v>
      </c>
      <c r="K297" s="8">
        <f t="shared" si="85"/>
        <v>0</v>
      </c>
      <c r="M297" s="43"/>
    </row>
    <row r="298" spans="1:15" ht="25.5" x14ac:dyDescent="0.2">
      <c r="A298" s="141" t="s">
        <v>158</v>
      </c>
      <c r="B298" s="147" t="s">
        <v>209</v>
      </c>
      <c r="C298" s="101"/>
      <c r="D298" s="96"/>
      <c r="E298" s="97"/>
      <c r="F298" s="97"/>
      <c r="G298" s="97"/>
      <c r="H298" s="8">
        <f t="shared" si="77"/>
        <v>19100000</v>
      </c>
      <c r="I298" s="8">
        <f t="shared" si="85"/>
        <v>19100000</v>
      </c>
      <c r="J298" s="8">
        <f t="shared" si="85"/>
        <v>0</v>
      </c>
      <c r="K298" s="8">
        <f t="shared" si="85"/>
        <v>0</v>
      </c>
      <c r="M298" s="43"/>
    </row>
    <row r="299" spans="1:15" ht="25.5" x14ac:dyDescent="0.2">
      <c r="A299" s="141" t="s">
        <v>280</v>
      </c>
      <c r="B299" s="147" t="s">
        <v>281</v>
      </c>
      <c r="C299" s="101"/>
      <c r="D299" s="96"/>
      <c r="E299" s="97"/>
      <c r="F299" s="97"/>
      <c r="G299" s="97"/>
      <c r="H299" s="8">
        <f t="shared" si="77"/>
        <v>213259.32</v>
      </c>
      <c r="I299" s="8">
        <f>I216+I213</f>
        <v>213259.32</v>
      </c>
      <c r="J299" s="8">
        <f>J216+J213</f>
        <v>0</v>
      </c>
      <c r="K299" s="8">
        <f>K216+K213</f>
        <v>0</v>
      </c>
      <c r="M299" s="43"/>
    </row>
    <row r="300" spans="1:15" ht="25.5" x14ac:dyDescent="0.2">
      <c r="A300" s="141" t="s">
        <v>24</v>
      </c>
      <c r="B300" s="5" t="s">
        <v>214</v>
      </c>
      <c r="C300" s="101"/>
      <c r="D300" s="96"/>
      <c r="E300" s="97"/>
      <c r="F300" s="97"/>
      <c r="G300" s="97"/>
      <c r="H300" s="8">
        <f t="shared" si="77"/>
        <v>102552.51</v>
      </c>
      <c r="I300" s="8">
        <f t="shared" ref="I300:K302" si="86">I209</f>
        <v>102552.51</v>
      </c>
      <c r="J300" s="8">
        <f t="shared" si="86"/>
        <v>0</v>
      </c>
      <c r="K300" s="8">
        <f t="shared" si="86"/>
        <v>0</v>
      </c>
      <c r="M300" s="43"/>
    </row>
    <row r="301" spans="1:15" ht="25.5" x14ac:dyDescent="0.2">
      <c r="A301" s="141" t="s">
        <v>25</v>
      </c>
      <c r="B301" s="147" t="s">
        <v>215</v>
      </c>
      <c r="C301" s="101"/>
      <c r="D301" s="96"/>
      <c r="E301" s="97"/>
      <c r="F301" s="97"/>
      <c r="G301" s="97"/>
      <c r="H301" s="8">
        <f t="shared" si="77"/>
        <v>101603.12</v>
      </c>
      <c r="I301" s="8">
        <f t="shared" si="86"/>
        <v>101603.12</v>
      </c>
      <c r="J301" s="8">
        <f t="shared" si="86"/>
        <v>0</v>
      </c>
      <c r="K301" s="8">
        <f t="shared" si="86"/>
        <v>0</v>
      </c>
      <c r="M301" s="45"/>
    </row>
    <row r="302" spans="1:15" ht="25.5" x14ac:dyDescent="0.2">
      <c r="A302" s="141" t="s">
        <v>210</v>
      </c>
      <c r="B302" s="147" t="s">
        <v>215</v>
      </c>
      <c r="C302" s="101"/>
      <c r="D302" s="96"/>
      <c r="E302" s="97"/>
      <c r="F302" s="97"/>
      <c r="G302" s="97"/>
      <c r="H302" s="8">
        <f t="shared" si="77"/>
        <v>10051000</v>
      </c>
      <c r="I302" s="8">
        <f t="shared" si="86"/>
        <v>10051000</v>
      </c>
      <c r="J302" s="8">
        <f t="shared" si="86"/>
        <v>0</v>
      </c>
      <c r="K302" s="8">
        <f t="shared" si="86"/>
        <v>0</v>
      </c>
      <c r="M302" s="43"/>
    </row>
    <row r="303" spans="1:15" ht="25.5" x14ac:dyDescent="0.2">
      <c r="A303" s="141" t="s">
        <v>378</v>
      </c>
      <c r="B303" s="147" t="s">
        <v>382</v>
      </c>
      <c r="C303" s="101"/>
      <c r="D303" s="96"/>
      <c r="E303" s="97"/>
      <c r="F303" s="97"/>
      <c r="G303" s="97"/>
      <c r="H303" s="8">
        <f t="shared" si="77"/>
        <v>1034705.07</v>
      </c>
      <c r="I303" s="8">
        <f t="shared" ref="I303:K304" si="87">I225</f>
        <v>1034705.07</v>
      </c>
      <c r="J303" s="8">
        <f t="shared" si="87"/>
        <v>0</v>
      </c>
      <c r="K303" s="8">
        <f t="shared" si="87"/>
        <v>0</v>
      </c>
      <c r="M303" s="43"/>
    </row>
    <row r="304" spans="1:15" ht="25.5" x14ac:dyDescent="0.2">
      <c r="A304" s="141" t="s">
        <v>379</v>
      </c>
      <c r="B304" s="147" t="s">
        <v>382</v>
      </c>
      <c r="C304" s="101"/>
      <c r="D304" s="96"/>
      <c r="E304" s="97"/>
      <c r="F304" s="97"/>
      <c r="G304" s="97"/>
      <c r="H304" s="8">
        <f t="shared" si="77"/>
        <v>102435801.69</v>
      </c>
      <c r="I304" s="8">
        <f t="shared" si="87"/>
        <v>102435801.69</v>
      </c>
      <c r="J304" s="8">
        <f t="shared" si="87"/>
        <v>0</v>
      </c>
      <c r="K304" s="8">
        <f t="shared" si="87"/>
        <v>0</v>
      </c>
      <c r="M304" s="43"/>
    </row>
    <row r="305" spans="1:13" ht="25.5" x14ac:dyDescent="0.2">
      <c r="A305" s="141" t="s">
        <v>78</v>
      </c>
      <c r="B305" s="147" t="s">
        <v>244</v>
      </c>
      <c r="C305" s="101"/>
      <c r="D305" s="96"/>
      <c r="E305" s="97"/>
      <c r="F305" s="97"/>
      <c r="G305" s="97"/>
      <c r="H305" s="8">
        <f t="shared" si="77"/>
        <v>6702344.6699999999</v>
      </c>
      <c r="I305" s="8">
        <f t="shared" ref="I305:K309" si="88">I231</f>
        <v>6702344.6699999999</v>
      </c>
      <c r="J305" s="8">
        <f t="shared" si="88"/>
        <v>0</v>
      </c>
      <c r="K305" s="8">
        <f t="shared" si="88"/>
        <v>0</v>
      </c>
      <c r="M305" s="43"/>
    </row>
    <row r="306" spans="1:13" ht="25.5" x14ac:dyDescent="0.2">
      <c r="A306" s="141" t="s">
        <v>287</v>
      </c>
      <c r="B306" s="147" t="s">
        <v>289</v>
      </c>
      <c r="C306" s="101"/>
      <c r="D306" s="96"/>
      <c r="E306" s="97"/>
      <c r="F306" s="97"/>
      <c r="G306" s="97"/>
      <c r="H306" s="8">
        <f t="shared" si="77"/>
        <v>147593.76</v>
      </c>
      <c r="I306" s="8">
        <f t="shared" si="88"/>
        <v>147593.76</v>
      </c>
      <c r="J306" s="8">
        <f t="shared" si="88"/>
        <v>0</v>
      </c>
      <c r="K306" s="8">
        <f t="shared" si="88"/>
        <v>0</v>
      </c>
      <c r="M306" s="43"/>
    </row>
    <row r="307" spans="1:13" ht="25.5" x14ac:dyDescent="0.2">
      <c r="A307" s="141" t="s">
        <v>294</v>
      </c>
      <c r="B307" s="147" t="s">
        <v>296</v>
      </c>
      <c r="C307" s="101"/>
      <c r="D307" s="96"/>
      <c r="E307" s="97"/>
      <c r="F307" s="97"/>
      <c r="G307" s="97"/>
      <c r="H307" s="8">
        <f t="shared" si="77"/>
        <v>14611782.560000001</v>
      </c>
      <c r="I307" s="8">
        <f t="shared" si="88"/>
        <v>14611782.560000001</v>
      </c>
      <c r="J307" s="8">
        <f t="shared" si="88"/>
        <v>0</v>
      </c>
      <c r="K307" s="8">
        <f t="shared" si="88"/>
        <v>0</v>
      </c>
      <c r="M307" s="43"/>
    </row>
    <row r="308" spans="1:13" ht="25.5" x14ac:dyDescent="0.2">
      <c r="A308" s="141" t="s">
        <v>67</v>
      </c>
      <c r="B308" s="147" t="s">
        <v>244</v>
      </c>
      <c r="C308" s="101"/>
      <c r="D308" s="96"/>
      <c r="E308" s="97"/>
      <c r="F308" s="97"/>
      <c r="G308" s="97"/>
      <c r="H308" s="8">
        <f t="shared" si="77"/>
        <v>6635322</v>
      </c>
      <c r="I308" s="8">
        <f t="shared" si="88"/>
        <v>6635322</v>
      </c>
      <c r="J308" s="8">
        <f t="shared" si="88"/>
        <v>0</v>
      </c>
      <c r="K308" s="8">
        <f t="shared" si="88"/>
        <v>0</v>
      </c>
      <c r="M308" s="43"/>
    </row>
    <row r="309" spans="1:13" ht="25.5" x14ac:dyDescent="0.2">
      <c r="A309" s="141" t="s">
        <v>85</v>
      </c>
      <c r="B309" s="147" t="s">
        <v>244</v>
      </c>
      <c r="C309" s="101"/>
      <c r="D309" s="96"/>
      <c r="E309" s="97"/>
      <c r="F309" s="97"/>
      <c r="G309" s="97"/>
      <c r="H309" s="8">
        <f t="shared" si="77"/>
        <v>656896800</v>
      </c>
      <c r="I309" s="8">
        <f t="shared" si="88"/>
        <v>656896800</v>
      </c>
      <c r="J309" s="8">
        <f t="shared" si="88"/>
        <v>0</v>
      </c>
      <c r="K309" s="8">
        <f t="shared" si="88"/>
        <v>0</v>
      </c>
      <c r="M309" s="43"/>
    </row>
    <row r="310" spans="1:13" ht="25.5" x14ac:dyDescent="0.2">
      <c r="A310" s="141" t="s">
        <v>59</v>
      </c>
      <c r="B310" s="147" t="s">
        <v>248</v>
      </c>
      <c r="C310" s="101"/>
      <c r="D310" s="96"/>
      <c r="E310" s="97"/>
      <c r="F310" s="97"/>
      <c r="G310" s="97"/>
      <c r="H310" s="8">
        <f t="shared" si="77"/>
        <v>5156802.0599999996</v>
      </c>
      <c r="I310" s="8">
        <f t="shared" ref="I310:K314" si="89">I240</f>
        <v>5156802.0599999996</v>
      </c>
      <c r="J310" s="8">
        <f t="shared" si="89"/>
        <v>0</v>
      </c>
      <c r="K310" s="8">
        <f t="shared" si="89"/>
        <v>0</v>
      </c>
      <c r="M310" s="43"/>
    </row>
    <row r="311" spans="1:13" ht="25.5" x14ac:dyDescent="0.2">
      <c r="A311" s="141" t="s">
        <v>218</v>
      </c>
      <c r="B311" s="147" t="s">
        <v>103</v>
      </c>
      <c r="C311" s="101"/>
      <c r="D311" s="96"/>
      <c r="E311" s="97"/>
      <c r="F311" s="97"/>
      <c r="G311" s="97"/>
      <c r="H311" s="8">
        <f t="shared" si="77"/>
        <v>2220947.2999999998</v>
      </c>
      <c r="I311" s="8">
        <f t="shared" si="89"/>
        <v>2220947.2999999998</v>
      </c>
      <c r="J311" s="8">
        <f t="shared" si="89"/>
        <v>0</v>
      </c>
      <c r="K311" s="8">
        <f t="shared" si="89"/>
        <v>0</v>
      </c>
      <c r="M311" s="43"/>
    </row>
    <row r="312" spans="1:13" ht="25.5" x14ac:dyDescent="0.2">
      <c r="A312" s="141" t="s">
        <v>119</v>
      </c>
      <c r="B312" s="147" t="s">
        <v>249</v>
      </c>
      <c r="C312" s="101"/>
      <c r="D312" s="96"/>
      <c r="E312" s="97"/>
      <c r="F312" s="97"/>
      <c r="G312" s="97"/>
      <c r="H312" s="8">
        <f t="shared" si="77"/>
        <v>30631404.260000002</v>
      </c>
      <c r="I312" s="8">
        <f t="shared" si="89"/>
        <v>30631404.260000002</v>
      </c>
      <c r="J312" s="8">
        <f t="shared" si="89"/>
        <v>0</v>
      </c>
      <c r="K312" s="8">
        <f t="shared" si="89"/>
        <v>0</v>
      </c>
      <c r="M312" s="43"/>
    </row>
    <row r="313" spans="1:13" ht="25.5" x14ac:dyDescent="0.2">
      <c r="A313" s="141" t="s">
        <v>219</v>
      </c>
      <c r="B313" s="147" t="s">
        <v>103</v>
      </c>
      <c r="C313" s="101"/>
      <c r="D313" s="96"/>
      <c r="E313" s="97"/>
      <c r="F313" s="97"/>
      <c r="G313" s="97"/>
      <c r="H313" s="8">
        <f t="shared" si="77"/>
        <v>219873782.17999998</v>
      </c>
      <c r="I313" s="8">
        <f t="shared" si="89"/>
        <v>219873782.17999998</v>
      </c>
      <c r="J313" s="8">
        <f t="shared" si="89"/>
        <v>0</v>
      </c>
      <c r="K313" s="8">
        <f t="shared" si="89"/>
        <v>0</v>
      </c>
      <c r="M313" s="43"/>
    </row>
    <row r="314" spans="1:13" ht="25.5" x14ac:dyDescent="0.2">
      <c r="A314" s="141" t="s">
        <v>220</v>
      </c>
      <c r="B314" s="147" t="s">
        <v>250</v>
      </c>
      <c r="C314" s="101"/>
      <c r="D314" s="96"/>
      <c r="E314" s="97"/>
      <c r="F314" s="97"/>
      <c r="G314" s="97"/>
      <c r="H314" s="8">
        <f t="shared" si="77"/>
        <v>479892000</v>
      </c>
      <c r="I314" s="8">
        <f t="shared" si="89"/>
        <v>479892000</v>
      </c>
      <c r="J314" s="8">
        <f t="shared" si="89"/>
        <v>0</v>
      </c>
      <c r="K314" s="8">
        <f t="shared" si="89"/>
        <v>0</v>
      </c>
      <c r="M314" s="43"/>
    </row>
    <row r="315" spans="1:13" ht="25.5" x14ac:dyDescent="0.2">
      <c r="A315" s="141" t="s">
        <v>178</v>
      </c>
      <c r="B315" s="147" t="s">
        <v>74</v>
      </c>
      <c r="C315" s="101"/>
      <c r="D315" s="96"/>
      <c r="E315" s="97"/>
      <c r="F315" s="97"/>
      <c r="G315" s="97"/>
      <c r="H315" s="8">
        <f t="shared" si="77"/>
        <v>3423353.85</v>
      </c>
      <c r="I315" s="8">
        <f t="shared" ref="I315:K316" si="90">I249</f>
        <v>1800575.76</v>
      </c>
      <c r="J315" s="8">
        <f t="shared" si="90"/>
        <v>1622778.09</v>
      </c>
      <c r="K315" s="8">
        <f t="shared" si="90"/>
        <v>0</v>
      </c>
      <c r="M315" s="43"/>
    </row>
    <row r="316" spans="1:13" ht="25.5" x14ac:dyDescent="0.2">
      <c r="A316" s="141" t="s">
        <v>176</v>
      </c>
      <c r="B316" s="147" t="s">
        <v>357</v>
      </c>
      <c r="C316" s="101"/>
      <c r="D316" s="96"/>
      <c r="E316" s="97"/>
      <c r="F316" s="97"/>
      <c r="G316" s="97"/>
      <c r="H316" s="8">
        <f t="shared" si="77"/>
        <v>200000.29000000004</v>
      </c>
      <c r="I316" s="8">
        <f t="shared" si="90"/>
        <v>200000.29000000004</v>
      </c>
      <c r="J316" s="8">
        <f t="shared" si="90"/>
        <v>0</v>
      </c>
      <c r="K316" s="8">
        <f t="shared" si="90"/>
        <v>0</v>
      </c>
      <c r="M316" s="43"/>
    </row>
    <row r="317" spans="1:13" ht="25.5" x14ac:dyDescent="0.2">
      <c r="A317" s="141" t="s">
        <v>176</v>
      </c>
      <c r="B317" s="147" t="s">
        <v>386</v>
      </c>
      <c r="C317" s="101"/>
      <c r="D317" s="96"/>
      <c r="E317" s="97"/>
      <c r="F317" s="97"/>
      <c r="G317" s="97"/>
      <c r="H317" s="8">
        <f t="shared" si="77"/>
        <v>30.69</v>
      </c>
      <c r="I317" s="8">
        <f>I251</f>
        <v>30.69</v>
      </c>
      <c r="J317" s="8">
        <f t="shared" ref="J317:K317" si="91">J251</f>
        <v>0</v>
      </c>
      <c r="K317" s="8">
        <f t="shared" si="91"/>
        <v>0</v>
      </c>
      <c r="M317" s="43"/>
    </row>
    <row r="318" spans="1:13" ht="25.5" x14ac:dyDescent="0.2">
      <c r="A318" s="141" t="s">
        <v>176</v>
      </c>
      <c r="B318" s="147" t="s">
        <v>411</v>
      </c>
      <c r="C318" s="101"/>
      <c r="D318" s="96"/>
      <c r="E318" s="97"/>
      <c r="F318" s="97"/>
      <c r="G318" s="97"/>
      <c r="H318" s="8">
        <f t="shared" si="77"/>
        <v>10933202.02</v>
      </c>
      <c r="I318" s="8">
        <f>I252</f>
        <v>3891191.92</v>
      </c>
      <c r="J318" s="8">
        <f t="shared" ref="J318:K318" si="92">J252</f>
        <v>7042010.0999999996</v>
      </c>
      <c r="K318" s="8">
        <f t="shared" si="92"/>
        <v>0</v>
      </c>
      <c r="M318" s="43"/>
    </row>
    <row r="319" spans="1:13" ht="25.5" x14ac:dyDescent="0.2">
      <c r="A319" s="141" t="s">
        <v>175</v>
      </c>
      <c r="B319" s="147" t="s">
        <v>75</v>
      </c>
      <c r="C319" s="101"/>
      <c r="D319" s="96"/>
      <c r="E319" s="97"/>
      <c r="F319" s="97"/>
      <c r="G319" s="97"/>
      <c r="H319" s="8">
        <f t="shared" si="77"/>
        <v>319108963.95999998</v>
      </c>
      <c r="I319" s="8">
        <f>I253</f>
        <v>178257000</v>
      </c>
      <c r="J319" s="8">
        <f>J253</f>
        <v>140851963.95999998</v>
      </c>
      <c r="K319" s="8">
        <f>K253</f>
        <v>0</v>
      </c>
      <c r="M319" s="43"/>
    </row>
    <row r="320" spans="1:13" ht="25.5" x14ac:dyDescent="0.2">
      <c r="A320" s="141" t="s">
        <v>177</v>
      </c>
      <c r="B320" s="147" t="s">
        <v>357</v>
      </c>
      <c r="C320" s="101"/>
      <c r="D320" s="96"/>
      <c r="E320" s="97"/>
      <c r="F320" s="97"/>
      <c r="G320" s="97"/>
      <c r="H320" s="8">
        <f t="shared" si="77"/>
        <v>19800029.120000005</v>
      </c>
      <c r="I320" s="8">
        <f>I255</f>
        <v>19800029.120000005</v>
      </c>
      <c r="J320" s="8">
        <f>J255</f>
        <v>0</v>
      </c>
      <c r="K320" s="8">
        <f>K255</f>
        <v>0</v>
      </c>
      <c r="M320" s="43"/>
    </row>
    <row r="321" spans="1:13" ht="25.5" x14ac:dyDescent="0.2">
      <c r="A321" s="141" t="s">
        <v>177</v>
      </c>
      <c r="B321" s="147" t="s">
        <v>386</v>
      </c>
      <c r="C321" s="101"/>
      <c r="D321" s="96"/>
      <c r="E321" s="97"/>
      <c r="F321" s="97"/>
      <c r="G321" s="97"/>
      <c r="H321" s="8">
        <f t="shared" si="77"/>
        <v>3038.02</v>
      </c>
      <c r="I321" s="8">
        <f>I254</f>
        <v>3038.02</v>
      </c>
      <c r="J321" s="8">
        <f t="shared" ref="J321:K321" si="93">J254</f>
        <v>0</v>
      </c>
      <c r="K321" s="8">
        <f t="shared" si="93"/>
        <v>0</v>
      </c>
      <c r="M321" s="43"/>
    </row>
    <row r="322" spans="1:13" ht="25.5" x14ac:dyDescent="0.2">
      <c r="A322" s="204" t="s">
        <v>177</v>
      </c>
      <c r="B322" s="147" t="s">
        <v>411</v>
      </c>
      <c r="C322" s="101"/>
      <c r="D322" s="96"/>
      <c r="E322" s="97"/>
      <c r="F322" s="97"/>
      <c r="G322" s="97"/>
      <c r="H322" s="8">
        <f t="shared" si="77"/>
        <v>1082387000</v>
      </c>
      <c r="I322" s="8">
        <f>I256</f>
        <v>385228000</v>
      </c>
      <c r="J322" s="8">
        <f t="shared" ref="J322:K322" si="94">J256</f>
        <v>697159000</v>
      </c>
      <c r="K322" s="8">
        <f t="shared" si="94"/>
        <v>0</v>
      </c>
      <c r="M322" s="43"/>
    </row>
    <row r="323" spans="1:13" ht="25.5" x14ac:dyDescent="0.2">
      <c r="A323" s="141" t="s">
        <v>179</v>
      </c>
      <c r="B323" s="147" t="s">
        <v>223</v>
      </c>
      <c r="C323" s="101"/>
      <c r="D323" s="96"/>
      <c r="E323" s="97"/>
      <c r="F323" s="97"/>
      <c r="G323" s="97"/>
      <c r="H323" s="8">
        <f t="shared" si="77"/>
        <v>3019944.87</v>
      </c>
      <c r="I323" s="8">
        <f t="shared" ref="I323:K325" si="95">I260</f>
        <v>3019944.87</v>
      </c>
      <c r="J323" s="8">
        <f t="shared" si="95"/>
        <v>0</v>
      </c>
      <c r="K323" s="8">
        <f t="shared" si="95"/>
        <v>0</v>
      </c>
      <c r="M323" s="43"/>
    </row>
    <row r="324" spans="1:13" ht="25.5" x14ac:dyDescent="0.2">
      <c r="A324" s="141" t="s">
        <v>179</v>
      </c>
      <c r="B324" s="147" t="s">
        <v>364</v>
      </c>
      <c r="C324" s="101"/>
      <c r="D324" s="96"/>
      <c r="E324" s="97"/>
      <c r="F324" s="97"/>
      <c r="G324" s="97"/>
      <c r="H324" s="8">
        <f t="shared" si="77"/>
        <v>4190142.92</v>
      </c>
      <c r="I324" s="8">
        <f t="shared" si="95"/>
        <v>4190142.92</v>
      </c>
      <c r="J324" s="8">
        <f t="shared" si="95"/>
        <v>0</v>
      </c>
      <c r="K324" s="8">
        <f t="shared" si="95"/>
        <v>0</v>
      </c>
      <c r="M324" s="43"/>
    </row>
    <row r="325" spans="1:13" ht="25.5" x14ac:dyDescent="0.2">
      <c r="A325" s="204" t="s">
        <v>180</v>
      </c>
      <c r="B325" s="205" t="s">
        <v>223</v>
      </c>
      <c r="C325" s="101"/>
      <c r="D325" s="96"/>
      <c r="E325" s="97"/>
      <c r="F325" s="97"/>
      <c r="G325" s="97"/>
      <c r="H325" s="8">
        <f t="shared" si="77"/>
        <v>298974542.06999999</v>
      </c>
      <c r="I325" s="8">
        <f t="shared" si="95"/>
        <v>298974542.06999999</v>
      </c>
      <c r="J325" s="8">
        <f t="shared" si="95"/>
        <v>0</v>
      </c>
      <c r="K325" s="8">
        <f t="shared" si="95"/>
        <v>0</v>
      </c>
      <c r="M325" s="43"/>
    </row>
    <row r="326" spans="1:13" ht="25.5" x14ac:dyDescent="0.2">
      <c r="A326" s="141" t="s">
        <v>286</v>
      </c>
      <c r="B326" s="147" t="s">
        <v>93</v>
      </c>
      <c r="C326" s="101"/>
      <c r="D326" s="96"/>
      <c r="E326" s="97"/>
      <c r="F326" s="97"/>
      <c r="G326" s="97"/>
      <c r="H326" s="8">
        <f t="shared" si="77"/>
        <v>497410</v>
      </c>
      <c r="I326" s="8">
        <f>I268</f>
        <v>497410</v>
      </c>
      <c r="J326" s="8">
        <f t="shared" ref="I326:K329" si="96">J268</f>
        <v>0</v>
      </c>
      <c r="K326" s="8">
        <f t="shared" si="96"/>
        <v>0</v>
      </c>
      <c r="M326" s="43"/>
    </row>
    <row r="327" spans="1:13" ht="25.5" x14ac:dyDescent="0.2">
      <c r="A327" s="141" t="s">
        <v>256</v>
      </c>
      <c r="B327" s="147" t="s">
        <v>257</v>
      </c>
      <c r="C327" s="101"/>
      <c r="D327" s="96"/>
      <c r="E327" s="97"/>
      <c r="F327" s="97"/>
      <c r="G327" s="97"/>
      <c r="H327" s="8">
        <f t="shared" si="77"/>
        <v>1170861</v>
      </c>
      <c r="I327" s="8">
        <f t="shared" si="96"/>
        <v>1170861</v>
      </c>
      <c r="J327" s="8">
        <f t="shared" si="96"/>
        <v>0</v>
      </c>
      <c r="K327" s="8">
        <f t="shared" si="96"/>
        <v>0</v>
      </c>
      <c r="M327" s="43"/>
    </row>
    <row r="328" spans="1:13" ht="25.5" x14ac:dyDescent="0.2">
      <c r="A328" s="141" t="s">
        <v>258</v>
      </c>
      <c r="B328" s="147" t="s">
        <v>259</v>
      </c>
      <c r="C328" s="101"/>
      <c r="D328" s="96"/>
      <c r="E328" s="97"/>
      <c r="F328" s="97"/>
      <c r="G328" s="97"/>
      <c r="H328" s="8">
        <f t="shared" si="77"/>
        <v>6954913</v>
      </c>
      <c r="I328" s="8">
        <f t="shared" si="96"/>
        <v>6954913</v>
      </c>
      <c r="J328" s="8">
        <f t="shared" si="96"/>
        <v>0</v>
      </c>
      <c r="K328" s="8">
        <f t="shared" si="96"/>
        <v>0</v>
      </c>
      <c r="M328" s="43"/>
    </row>
    <row r="329" spans="1:13" ht="25.5" x14ac:dyDescent="0.2">
      <c r="A329" s="204" t="s">
        <v>254</v>
      </c>
      <c r="B329" s="205" t="s">
        <v>255</v>
      </c>
      <c r="C329" s="101"/>
      <c r="D329" s="96"/>
      <c r="E329" s="97"/>
      <c r="F329" s="97"/>
      <c r="G329" s="97"/>
      <c r="H329" s="8">
        <f t="shared" si="77"/>
        <v>108960300</v>
      </c>
      <c r="I329" s="8">
        <f t="shared" si="96"/>
        <v>108960300</v>
      </c>
      <c r="J329" s="8">
        <f t="shared" si="96"/>
        <v>0</v>
      </c>
      <c r="K329" s="8">
        <f t="shared" si="96"/>
        <v>0</v>
      </c>
      <c r="M329" s="43"/>
    </row>
    <row r="330" spans="1:13" ht="25.5" x14ac:dyDescent="0.2">
      <c r="A330" s="141" t="s">
        <v>283</v>
      </c>
      <c r="B330" s="147" t="s">
        <v>278</v>
      </c>
      <c r="C330" s="101"/>
      <c r="D330" s="96"/>
      <c r="E330" s="97"/>
      <c r="F330" s="97"/>
      <c r="G330" s="97"/>
      <c r="H330" s="8">
        <f t="shared" si="77"/>
        <v>150000</v>
      </c>
      <c r="I330" s="8">
        <f t="shared" ref="I330:K332" si="97">I278</f>
        <v>150000</v>
      </c>
      <c r="J330" s="8">
        <f t="shared" si="97"/>
        <v>0</v>
      </c>
      <c r="K330" s="8">
        <f t="shared" si="97"/>
        <v>0</v>
      </c>
      <c r="M330" s="43"/>
    </row>
    <row r="331" spans="1:13" ht="25.5" x14ac:dyDescent="0.2">
      <c r="A331" s="9" t="s">
        <v>181</v>
      </c>
      <c r="B331" s="5" t="s">
        <v>8</v>
      </c>
      <c r="C331" s="101"/>
      <c r="D331" s="96"/>
      <c r="E331" s="97"/>
      <c r="F331" s="97"/>
      <c r="G331" s="97"/>
      <c r="H331" s="8">
        <f t="shared" si="77"/>
        <v>4191275.2399999998</v>
      </c>
      <c r="I331" s="8">
        <f t="shared" si="97"/>
        <v>2979154.03</v>
      </c>
      <c r="J331" s="8">
        <f t="shared" si="97"/>
        <v>1212121.21</v>
      </c>
      <c r="K331" s="8">
        <f t="shared" si="97"/>
        <v>0</v>
      </c>
      <c r="M331" s="43"/>
    </row>
    <row r="332" spans="1:13" ht="26.25" thickBot="1" x14ac:dyDescent="0.25">
      <c r="A332" s="170" t="s">
        <v>182</v>
      </c>
      <c r="B332" s="74" t="s">
        <v>222</v>
      </c>
      <c r="C332" s="101"/>
      <c r="D332" s="96"/>
      <c r="E332" s="97"/>
      <c r="F332" s="97"/>
      <c r="G332" s="97"/>
      <c r="H332" s="8">
        <f>I332+J332+K332</f>
        <v>414936249.18000001</v>
      </c>
      <c r="I332" s="8">
        <f t="shared" si="97"/>
        <v>294936249.18000001</v>
      </c>
      <c r="J332" s="8">
        <f t="shared" si="97"/>
        <v>120000000</v>
      </c>
      <c r="K332" s="8">
        <f t="shared" si="97"/>
        <v>0</v>
      </c>
      <c r="M332" s="43"/>
    </row>
    <row r="333" spans="1:13" ht="27.75" customHeight="1" thickBot="1" x14ac:dyDescent="0.25">
      <c r="A333" s="414" t="s">
        <v>46</v>
      </c>
      <c r="B333" s="415"/>
      <c r="C333" s="107"/>
      <c r="D333" s="107"/>
      <c r="E333" s="108"/>
      <c r="F333" s="108"/>
      <c r="G333" s="108"/>
      <c r="H333" s="105">
        <f>H283</f>
        <v>4051441271.5100002</v>
      </c>
      <c r="I333" s="105">
        <f>SUM(I334:I382)</f>
        <v>2886734298.1400003</v>
      </c>
      <c r="J333" s="105">
        <f>SUM(J334:J382)</f>
        <v>1085372573.23</v>
      </c>
      <c r="K333" s="105">
        <f>SUM(K334:K382)</f>
        <v>79334400.140000001</v>
      </c>
      <c r="L333" s="3">
        <f>I333+J333+K333</f>
        <v>4051441271.5100002</v>
      </c>
      <c r="M333" s="64">
        <f>SUM(H334:H382)</f>
        <v>4051441271.5099998</v>
      </c>
    </row>
    <row r="334" spans="1:13" ht="25.5" x14ac:dyDescent="0.2">
      <c r="A334" s="125" t="s">
        <v>22</v>
      </c>
      <c r="B334" s="79" t="s">
        <v>93</v>
      </c>
      <c r="C334" s="102"/>
      <c r="D334" s="102"/>
      <c r="E334" s="103"/>
      <c r="F334" s="103"/>
      <c r="G334" s="103"/>
      <c r="H334" s="29">
        <f t="shared" ref="H334:H382" si="98">I334+J334+K334</f>
        <v>8249098.3300000001</v>
      </c>
      <c r="I334" s="68">
        <f t="shared" ref="I334:K353" si="99">I284</f>
        <v>8249098.3300000001</v>
      </c>
      <c r="J334" s="68">
        <f t="shared" si="99"/>
        <v>0</v>
      </c>
      <c r="K334" s="68">
        <f t="shared" si="99"/>
        <v>0</v>
      </c>
      <c r="L334" s="3"/>
      <c r="M334" s="43"/>
    </row>
    <row r="335" spans="1:13" ht="25.5" x14ac:dyDescent="0.2">
      <c r="A335" s="141" t="s">
        <v>292</v>
      </c>
      <c r="B335" s="147" t="s">
        <v>293</v>
      </c>
      <c r="C335" s="111"/>
      <c r="D335" s="111"/>
      <c r="E335" s="112"/>
      <c r="F335" s="112"/>
      <c r="G335" s="112"/>
      <c r="H335" s="8">
        <f t="shared" si="98"/>
        <v>79494.240000000005</v>
      </c>
      <c r="I335" s="78">
        <f t="shared" si="99"/>
        <v>79494.240000000005</v>
      </c>
      <c r="J335" s="78">
        <f t="shared" si="99"/>
        <v>0</v>
      </c>
      <c r="K335" s="78">
        <f t="shared" si="99"/>
        <v>0</v>
      </c>
      <c r="L335" s="3"/>
      <c r="M335" s="43"/>
    </row>
    <row r="336" spans="1:13" ht="25.5" x14ac:dyDescent="0.2">
      <c r="A336" s="141" t="s">
        <v>292</v>
      </c>
      <c r="B336" s="147" t="s">
        <v>377</v>
      </c>
      <c r="C336" s="111"/>
      <c r="D336" s="111"/>
      <c r="E336" s="112"/>
      <c r="F336" s="112"/>
      <c r="G336" s="112"/>
      <c r="H336" s="8">
        <f t="shared" si="98"/>
        <v>313625.59000000003</v>
      </c>
      <c r="I336" s="78">
        <f t="shared" si="99"/>
        <v>313625.59000000003</v>
      </c>
      <c r="J336" s="78">
        <f t="shared" si="99"/>
        <v>0</v>
      </c>
      <c r="K336" s="78">
        <f t="shared" si="99"/>
        <v>0</v>
      </c>
      <c r="L336" s="3"/>
      <c r="M336" s="43"/>
    </row>
    <row r="337" spans="1:13" ht="25.5" x14ac:dyDescent="0.2">
      <c r="A337" s="141" t="s">
        <v>351</v>
      </c>
      <c r="B337" s="147" t="s">
        <v>293</v>
      </c>
      <c r="C337" s="111"/>
      <c r="D337" s="111"/>
      <c r="E337" s="112"/>
      <c r="F337" s="112"/>
      <c r="G337" s="112"/>
      <c r="H337" s="8">
        <f t="shared" si="98"/>
        <v>1510390.61</v>
      </c>
      <c r="I337" s="78">
        <f t="shared" si="99"/>
        <v>1510390.61</v>
      </c>
      <c r="J337" s="78">
        <f t="shared" si="99"/>
        <v>0</v>
      </c>
      <c r="K337" s="78">
        <f t="shared" si="99"/>
        <v>0</v>
      </c>
      <c r="L337" s="3"/>
      <c r="M337" s="43"/>
    </row>
    <row r="338" spans="1:13" ht="25.5" x14ac:dyDescent="0.2">
      <c r="A338" s="219" t="s">
        <v>173</v>
      </c>
      <c r="B338" s="76" t="s">
        <v>201</v>
      </c>
      <c r="C338" s="111"/>
      <c r="D338" s="111"/>
      <c r="E338" s="112"/>
      <c r="F338" s="112"/>
      <c r="G338" s="112"/>
      <c r="H338" s="8">
        <f t="shared" si="98"/>
        <v>4542120</v>
      </c>
      <c r="I338" s="78">
        <f t="shared" si="99"/>
        <v>0</v>
      </c>
      <c r="J338" s="78">
        <f t="shared" si="99"/>
        <v>2249999.9900000002</v>
      </c>
      <c r="K338" s="78">
        <f t="shared" si="99"/>
        <v>2292120.0099999998</v>
      </c>
      <c r="L338" s="3"/>
      <c r="M338" s="43"/>
    </row>
    <row r="339" spans="1:13" ht="25.5" x14ac:dyDescent="0.2">
      <c r="A339" s="141" t="s">
        <v>174</v>
      </c>
      <c r="B339" s="147" t="s">
        <v>202</v>
      </c>
      <c r="C339" s="123"/>
      <c r="D339" s="123"/>
      <c r="E339" s="124"/>
      <c r="F339" s="124"/>
      <c r="G339" s="124"/>
      <c r="H339" s="8">
        <f t="shared" si="98"/>
        <v>86300280.010000005</v>
      </c>
      <c r="I339" s="69">
        <f t="shared" si="99"/>
        <v>0</v>
      </c>
      <c r="J339" s="69">
        <f t="shared" si="99"/>
        <v>42749999.880000003</v>
      </c>
      <c r="K339" s="69">
        <f t="shared" si="99"/>
        <v>43550280.130000003</v>
      </c>
      <c r="L339" s="3"/>
      <c r="M339" s="43"/>
    </row>
    <row r="340" spans="1:13" ht="25.5" x14ac:dyDescent="0.2">
      <c r="A340" s="219" t="s">
        <v>173</v>
      </c>
      <c r="B340" s="76" t="s">
        <v>203</v>
      </c>
      <c r="C340" s="123"/>
      <c r="D340" s="123"/>
      <c r="E340" s="124"/>
      <c r="F340" s="124"/>
      <c r="G340" s="124"/>
      <c r="H340" s="8">
        <f t="shared" si="98"/>
        <v>2124235</v>
      </c>
      <c r="I340" s="69">
        <f t="shared" si="99"/>
        <v>0</v>
      </c>
      <c r="J340" s="69">
        <f t="shared" si="99"/>
        <v>2124235</v>
      </c>
      <c r="K340" s="69">
        <f t="shared" si="99"/>
        <v>0</v>
      </c>
      <c r="L340" s="3"/>
      <c r="M340" s="43"/>
    </row>
    <row r="341" spans="1:13" ht="25.5" x14ac:dyDescent="0.2">
      <c r="A341" s="141" t="s">
        <v>174</v>
      </c>
      <c r="B341" s="147" t="s">
        <v>204</v>
      </c>
      <c r="C341" s="123"/>
      <c r="D341" s="123"/>
      <c r="E341" s="124"/>
      <c r="F341" s="124"/>
      <c r="G341" s="124"/>
      <c r="H341" s="8">
        <f t="shared" si="98"/>
        <v>40360465</v>
      </c>
      <c r="I341" s="69">
        <f t="shared" si="99"/>
        <v>0</v>
      </c>
      <c r="J341" s="69">
        <f t="shared" si="99"/>
        <v>40360465</v>
      </c>
      <c r="K341" s="69">
        <f t="shared" si="99"/>
        <v>0</v>
      </c>
      <c r="L341" s="3"/>
      <c r="M341" s="43"/>
    </row>
    <row r="342" spans="1:13" ht="25.5" x14ac:dyDescent="0.2">
      <c r="A342" s="219" t="s">
        <v>173</v>
      </c>
      <c r="B342" s="76" t="s">
        <v>205</v>
      </c>
      <c r="C342" s="123"/>
      <c r="D342" s="123"/>
      <c r="E342" s="124"/>
      <c r="F342" s="124"/>
      <c r="G342" s="124"/>
      <c r="H342" s="8">
        <f t="shared" si="98"/>
        <v>3174600</v>
      </c>
      <c r="I342" s="69">
        <f t="shared" si="99"/>
        <v>0</v>
      </c>
      <c r="J342" s="69">
        <f t="shared" si="99"/>
        <v>1500000</v>
      </c>
      <c r="K342" s="69">
        <f t="shared" si="99"/>
        <v>1674600</v>
      </c>
      <c r="L342" s="3"/>
      <c r="M342" s="43"/>
    </row>
    <row r="343" spans="1:13" ht="25.5" x14ac:dyDescent="0.2">
      <c r="A343" s="141" t="s">
        <v>174</v>
      </c>
      <c r="B343" s="147" t="s">
        <v>206</v>
      </c>
      <c r="C343" s="123"/>
      <c r="D343" s="123"/>
      <c r="E343" s="124"/>
      <c r="F343" s="124"/>
      <c r="G343" s="124"/>
      <c r="H343" s="8">
        <f t="shared" si="98"/>
        <v>60317400</v>
      </c>
      <c r="I343" s="69">
        <f t="shared" si="99"/>
        <v>0</v>
      </c>
      <c r="J343" s="69">
        <f t="shared" si="99"/>
        <v>28500000</v>
      </c>
      <c r="K343" s="69">
        <f t="shared" si="99"/>
        <v>31817400</v>
      </c>
      <c r="L343" s="3"/>
      <c r="M343" s="43"/>
    </row>
    <row r="344" spans="1:13" ht="25.5" x14ac:dyDescent="0.2">
      <c r="A344" s="318" t="s">
        <v>154</v>
      </c>
      <c r="B344" s="319" t="s">
        <v>207</v>
      </c>
      <c r="C344" s="123"/>
      <c r="D344" s="123"/>
      <c r="E344" s="124"/>
      <c r="F344" s="124"/>
      <c r="G344" s="124"/>
      <c r="H344" s="8">
        <f t="shared" si="98"/>
        <v>43621.32</v>
      </c>
      <c r="I344" s="69">
        <f t="shared" si="99"/>
        <v>43621.32</v>
      </c>
      <c r="J344" s="69">
        <f t="shared" si="99"/>
        <v>0</v>
      </c>
      <c r="K344" s="69">
        <f t="shared" si="99"/>
        <v>0</v>
      </c>
      <c r="L344" s="3"/>
      <c r="M344" s="43"/>
    </row>
    <row r="345" spans="1:13" ht="25.5" x14ac:dyDescent="0.2">
      <c r="A345" s="320" t="s">
        <v>155</v>
      </c>
      <c r="B345" s="147" t="s">
        <v>208</v>
      </c>
      <c r="C345" s="123"/>
      <c r="D345" s="123"/>
      <c r="E345" s="124"/>
      <c r="F345" s="124"/>
      <c r="G345" s="124"/>
      <c r="H345" s="8">
        <f t="shared" si="98"/>
        <v>4318510.4000000004</v>
      </c>
      <c r="I345" s="69">
        <f t="shared" si="99"/>
        <v>4318510.4000000004</v>
      </c>
      <c r="J345" s="69">
        <f t="shared" si="99"/>
        <v>0</v>
      </c>
      <c r="K345" s="69">
        <f t="shared" si="99"/>
        <v>0</v>
      </c>
      <c r="L345" s="3"/>
      <c r="M345" s="43"/>
    </row>
    <row r="346" spans="1:13" ht="25.5" x14ac:dyDescent="0.2">
      <c r="A346" s="141" t="s">
        <v>217</v>
      </c>
      <c r="B346" s="147" t="s">
        <v>114</v>
      </c>
      <c r="C346" s="123"/>
      <c r="D346" s="123"/>
      <c r="E346" s="124"/>
      <c r="F346" s="124"/>
      <c r="G346" s="124"/>
      <c r="H346" s="8">
        <f t="shared" si="98"/>
        <v>1228474.28</v>
      </c>
      <c r="I346" s="69">
        <f t="shared" si="99"/>
        <v>1228474.28</v>
      </c>
      <c r="J346" s="69">
        <f t="shared" si="99"/>
        <v>0</v>
      </c>
      <c r="K346" s="69">
        <f t="shared" si="99"/>
        <v>0</v>
      </c>
      <c r="L346" s="3"/>
      <c r="M346" s="43"/>
    </row>
    <row r="347" spans="1:13" ht="25.5" x14ac:dyDescent="0.2">
      <c r="A347" s="141" t="s">
        <v>157</v>
      </c>
      <c r="B347" s="147" t="s">
        <v>113</v>
      </c>
      <c r="C347" s="123"/>
      <c r="D347" s="123"/>
      <c r="E347" s="124"/>
      <c r="F347" s="124"/>
      <c r="G347" s="124"/>
      <c r="H347" s="8">
        <f t="shared" si="98"/>
        <v>4170000</v>
      </c>
      <c r="I347" s="69">
        <f t="shared" si="99"/>
        <v>4170000</v>
      </c>
      <c r="J347" s="69">
        <f t="shared" si="99"/>
        <v>0</v>
      </c>
      <c r="K347" s="69">
        <f t="shared" si="99"/>
        <v>0</v>
      </c>
      <c r="L347" s="3"/>
      <c r="M347" s="43"/>
    </row>
    <row r="348" spans="1:13" ht="25.5" x14ac:dyDescent="0.2">
      <c r="A348" s="141" t="s">
        <v>158</v>
      </c>
      <c r="B348" s="147" t="s">
        <v>209</v>
      </c>
      <c r="C348" s="123"/>
      <c r="D348" s="123"/>
      <c r="E348" s="124"/>
      <c r="F348" s="124"/>
      <c r="G348" s="124"/>
      <c r="H348" s="8">
        <f t="shared" si="98"/>
        <v>19100000</v>
      </c>
      <c r="I348" s="69">
        <f t="shared" si="99"/>
        <v>19100000</v>
      </c>
      <c r="J348" s="69">
        <f t="shared" si="99"/>
        <v>0</v>
      </c>
      <c r="K348" s="69">
        <f t="shared" si="99"/>
        <v>0</v>
      </c>
      <c r="L348" s="3"/>
      <c r="M348" s="43"/>
    </row>
    <row r="349" spans="1:13" ht="25.5" x14ac:dyDescent="0.2">
      <c r="A349" s="141" t="s">
        <v>280</v>
      </c>
      <c r="B349" s="147" t="s">
        <v>281</v>
      </c>
      <c r="C349" s="111"/>
      <c r="D349" s="111"/>
      <c r="E349" s="112"/>
      <c r="F349" s="112"/>
      <c r="G349" s="112"/>
      <c r="H349" s="8">
        <f t="shared" si="98"/>
        <v>213259.32</v>
      </c>
      <c r="I349" s="78">
        <f t="shared" si="99"/>
        <v>213259.32</v>
      </c>
      <c r="J349" s="78">
        <f t="shared" si="99"/>
        <v>0</v>
      </c>
      <c r="K349" s="78">
        <f t="shared" si="99"/>
        <v>0</v>
      </c>
      <c r="L349" s="3"/>
      <c r="M349" s="43"/>
    </row>
    <row r="350" spans="1:13" ht="25.5" x14ac:dyDescent="0.2">
      <c r="A350" s="141" t="s">
        <v>24</v>
      </c>
      <c r="B350" s="5" t="s">
        <v>214</v>
      </c>
      <c r="C350" s="111"/>
      <c r="D350" s="111"/>
      <c r="E350" s="112"/>
      <c r="F350" s="112"/>
      <c r="G350" s="112"/>
      <c r="H350" s="8">
        <f t="shared" si="98"/>
        <v>102552.51</v>
      </c>
      <c r="I350" s="78">
        <f t="shared" si="99"/>
        <v>102552.51</v>
      </c>
      <c r="J350" s="78">
        <f t="shared" si="99"/>
        <v>0</v>
      </c>
      <c r="K350" s="78">
        <f t="shared" si="99"/>
        <v>0</v>
      </c>
      <c r="L350" s="3"/>
      <c r="M350" s="43"/>
    </row>
    <row r="351" spans="1:13" ht="25.5" x14ac:dyDescent="0.2">
      <c r="A351" s="141" t="s">
        <v>25</v>
      </c>
      <c r="B351" s="147" t="s">
        <v>215</v>
      </c>
      <c r="C351" s="111"/>
      <c r="D351" s="111"/>
      <c r="E351" s="112"/>
      <c r="F351" s="112"/>
      <c r="G351" s="112"/>
      <c r="H351" s="8">
        <f t="shared" si="98"/>
        <v>101603.12</v>
      </c>
      <c r="I351" s="78">
        <f t="shared" si="99"/>
        <v>101603.12</v>
      </c>
      <c r="J351" s="78">
        <f t="shared" si="99"/>
        <v>0</v>
      </c>
      <c r="K351" s="78">
        <f t="shared" si="99"/>
        <v>0</v>
      </c>
      <c r="L351" s="3"/>
      <c r="M351" s="43"/>
    </row>
    <row r="352" spans="1:13" ht="25.5" x14ac:dyDescent="0.2">
      <c r="A352" s="141" t="s">
        <v>210</v>
      </c>
      <c r="B352" s="147" t="s">
        <v>215</v>
      </c>
      <c r="C352" s="111"/>
      <c r="D352" s="111"/>
      <c r="E352" s="112"/>
      <c r="F352" s="112"/>
      <c r="G352" s="112"/>
      <c r="H352" s="8">
        <f t="shared" si="98"/>
        <v>10051000</v>
      </c>
      <c r="I352" s="78">
        <f t="shared" si="99"/>
        <v>10051000</v>
      </c>
      <c r="J352" s="78">
        <f t="shared" si="99"/>
        <v>0</v>
      </c>
      <c r="K352" s="78">
        <f t="shared" si="99"/>
        <v>0</v>
      </c>
      <c r="L352" s="3"/>
      <c r="M352" s="43"/>
    </row>
    <row r="353" spans="1:13" ht="25.5" x14ac:dyDescent="0.2">
      <c r="A353" s="141" t="s">
        <v>378</v>
      </c>
      <c r="B353" s="147" t="s">
        <v>382</v>
      </c>
      <c r="C353" s="111"/>
      <c r="D353" s="111"/>
      <c r="E353" s="112"/>
      <c r="F353" s="112"/>
      <c r="G353" s="112"/>
      <c r="H353" s="8">
        <f t="shared" si="98"/>
        <v>1034705.07</v>
      </c>
      <c r="I353" s="78">
        <f t="shared" si="99"/>
        <v>1034705.07</v>
      </c>
      <c r="J353" s="78">
        <f t="shared" si="99"/>
        <v>0</v>
      </c>
      <c r="K353" s="78">
        <f t="shared" si="99"/>
        <v>0</v>
      </c>
      <c r="L353" s="3"/>
      <c r="M353" s="43"/>
    </row>
    <row r="354" spans="1:13" ht="25.5" x14ac:dyDescent="0.2">
      <c r="A354" s="141" t="s">
        <v>379</v>
      </c>
      <c r="B354" s="147" t="s">
        <v>382</v>
      </c>
      <c r="C354" s="111"/>
      <c r="D354" s="111"/>
      <c r="E354" s="112"/>
      <c r="F354" s="112"/>
      <c r="G354" s="112"/>
      <c r="H354" s="8">
        <f t="shared" si="98"/>
        <v>102435801.69</v>
      </c>
      <c r="I354" s="78">
        <f t="shared" ref="I354:I382" si="100">I304</f>
        <v>102435801.69</v>
      </c>
      <c r="J354" s="78">
        <f t="shared" ref="J354:K354" si="101">J304</f>
        <v>0</v>
      </c>
      <c r="K354" s="78">
        <f t="shared" si="101"/>
        <v>0</v>
      </c>
      <c r="L354" s="3"/>
      <c r="M354" s="43"/>
    </row>
    <row r="355" spans="1:13" ht="25.5" x14ac:dyDescent="0.2">
      <c r="A355" s="141" t="s">
        <v>78</v>
      </c>
      <c r="B355" s="147" t="s">
        <v>244</v>
      </c>
      <c r="C355" s="111"/>
      <c r="D355" s="111"/>
      <c r="E355" s="112"/>
      <c r="F355" s="112"/>
      <c r="G355" s="112"/>
      <c r="H355" s="8">
        <f t="shared" si="98"/>
        <v>6702344.6699999999</v>
      </c>
      <c r="I355" s="78">
        <f t="shared" si="100"/>
        <v>6702344.6699999999</v>
      </c>
      <c r="J355" s="78">
        <f>J305</f>
        <v>0</v>
      </c>
      <c r="K355" s="78">
        <f>K305</f>
        <v>0</v>
      </c>
      <c r="L355" s="3"/>
      <c r="M355" s="43"/>
    </row>
    <row r="356" spans="1:13" ht="25.5" x14ac:dyDescent="0.2">
      <c r="A356" s="141" t="s">
        <v>287</v>
      </c>
      <c r="B356" s="147" t="s">
        <v>289</v>
      </c>
      <c r="C356" s="111"/>
      <c r="D356" s="111"/>
      <c r="E356" s="112"/>
      <c r="F356" s="112"/>
      <c r="G356" s="112"/>
      <c r="H356" s="8">
        <f t="shared" si="98"/>
        <v>147593.76</v>
      </c>
      <c r="I356" s="78">
        <f t="shared" si="100"/>
        <v>147593.76</v>
      </c>
      <c r="J356" s="78">
        <f t="shared" ref="J356:K356" si="102">J306</f>
        <v>0</v>
      </c>
      <c r="K356" s="78">
        <f t="shared" si="102"/>
        <v>0</v>
      </c>
      <c r="L356" s="3"/>
      <c r="M356" s="43"/>
    </row>
    <row r="357" spans="1:13" ht="25.5" x14ac:dyDescent="0.2">
      <c r="A357" s="141" t="s">
        <v>294</v>
      </c>
      <c r="B357" s="147" t="s">
        <v>296</v>
      </c>
      <c r="C357" s="111"/>
      <c r="D357" s="111"/>
      <c r="E357" s="112"/>
      <c r="F357" s="112"/>
      <c r="G357" s="112"/>
      <c r="H357" s="8">
        <f t="shared" si="98"/>
        <v>14611782.560000001</v>
      </c>
      <c r="I357" s="78">
        <f t="shared" si="100"/>
        <v>14611782.560000001</v>
      </c>
      <c r="J357" s="78">
        <f t="shared" ref="J357:K357" si="103">J307</f>
        <v>0</v>
      </c>
      <c r="K357" s="78">
        <f t="shared" si="103"/>
        <v>0</v>
      </c>
      <c r="L357" s="3"/>
      <c r="M357" s="43"/>
    </row>
    <row r="358" spans="1:13" ht="25.5" x14ac:dyDescent="0.2">
      <c r="A358" s="141" t="s">
        <v>67</v>
      </c>
      <c r="B358" s="147" t="s">
        <v>244</v>
      </c>
      <c r="C358" s="123"/>
      <c r="D358" s="123"/>
      <c r="E358" s="124"/>
      <c r="F358" s="124"/>
      <c r="G358" s="124"/>
      <c r="H358" s="8">
        <f t="shared" si="98"/>
        <v>6635322</v>
      </c>
      <c r="I358" s="69">
        <f t="shared" si="100"/>
        <v>6635322</v>
      </c>
      <c r="J358" s="69">
        <f t="shared" ref="J358:K366" si="104">J308</f>
        <v>0</v>
      </c>
      <c r="K358" s="69">
        <f t="shared" si="104"/>
        <v>0</v>
      </c>
      <c r="L358" s="3"/>
      <c r="M358" s="43"/>
    </row>
    <row r="359" spans="1:13" ht="25.5" x14ac:dyDescent="0.2">
      <c r="A359" s="141" t="s">
        <v>85</v>
      </c>
      <c r="B359" s="147" t="s">
        <v>244</v>
      </c>
      <c r="C359" s="123"/>
      <c r="D359" s="123"/>
      <c r="E359" s="124"/>
      <c r="F359" s="124"/>
      <c r="G359" s="124"/>
      <c r="H359" s="8">
        <f t="shared" si="98"/>
        <v>656896800</v>
      </c>
      <c r="I359" s="69">
        <f t="shared" si="100"/>
        <v>656896800</v>
      </c>
      <c r="J359" s="69">
        <f t="shared" si="104"/>
        <v>0</v>
      </c>
      <c r="K359" s="69">
        <f t="shared" si="104"/>
        <v>0</v>
      </c>
      <c r="L359" s="3"/>
      <c r="M359" s="43"/>
    </row>
    <row r="360" spans="1:13" ht="25.5" x14ac:dyDescent="0.2">
      <c r="A360" s="141" t="s">
        <v>59</v>
      </c>
      <c r="B360" s="147" t="s">
        <v>248</v>
      </c>
      <c r="C360" s="111"/>
      <c r="D360" s="111"/>
      <c r="E360" s="112"/>
      <c r="F360" s="112"/>
      <c r="G360" s="112"/>
      <c r="H360" s="8">
        <f t="shared" si="98"/>
        <v>5156802.0599999996</v>
      </c>
      <c r="I360" s="78">
        <f t="shared" si="100"/>
        <v>5156802.0599999996</v>
      </c>
      <c r="J360" s="78">
        <f t="shared" si="104"/>
        <v>0</v>
      </c>
      <c r="K360" s="78">
        <f t="shared" si="104"/>
        <v>0</v>
      </c>
      <c r="L360" s="3"/>
      <c r="M360" s="43"/>
    </row>
    <row r="361" spans="1:13" ht="25.5" x14ac:dyDescent="0.2">
      <c r="A361" s="141" t="s">
        <v>218</v>
      </c>
      <c r="B361" s="147" t="s">
        <v>103</v>
      </c>
      <c r="C361" s="123"/>
      <c r="D361" s="123"/>
      <c r="E361" s="124"/>
      <c r="F361" s="124"/>
      <c r="G361" s="124"/>
      <c r="H361" s="8">
        <f t="shared" si="98"/>
        <v>2220947.2999999998</v>
      </c>
      <c r="I361" s="69">
        <f t="shared" si="100"/>
        <v>2220947.2999999998</v>
      </c>
      <c r="J361" s="69">
        <f t="shared" si="104"/>
        <v>0</v>
      </c>
      <c r="K361" s="69">
        <f t="shared" si="104"/>
        <v>0</v>
      </c>
      <c r="L361" s="3"/>
      <c r="M361" s="43"/>
    </row>
    <row r="362" spans="1:13" ht="25.5" x14ac:dyDescent="0.2">
      <c r="A362" s="141" t="s">
        <v>119</v>
      </c>
      <c r="B362" s="147" t="s">
        <v>250</v>
      </c>
      <c r="C362" s="123"/>
      <c r="D362" s="123"/>
      <c r="E362" s="124"/>
      <c r="F362" s="124"/>
      <c r="G362" s="124"/>
      <c r="H362" s="8">
        <f t="shared" si="98"/>
        <v>30631404.260000002</v>
      </c>
      <c r="I362" s="69">
        <f t="shared" si="100"/>
        <v>30631404.260000002</v>
      </c>
      <c r="J362" s="69">
        <f t="shared" si="104"/>
        <v>0</v>
      </c>
      <c r="K362" s="69">
        <f t="shared" si="104"/>
        <v>0</v>
      </c>
      <c r="L362" s="3"/>
      <c r="M362" s="43"/>
    </row>
    <row r="363" spans="1:13" ht="25.5" x14ac:dyDescent="0.2">
      <c r="A363" s="141" t="s">
        <v>219</v>
      </c>
      <c r="B363" s="147" t="s">
        <v>103</v>
      </c>
      <c r="C363" s="123"/>
      <c r="D363" s="123"/>
      <c r="E363" s="124"/>
      <c r="F363" s="124"/>
      <c r="G363" s="124"/>
      <c r="H363" s="8">
        <f t="shared" si="98"/>
        <v>219873782.17999998</v>
      </c>
      <c r="I363" s="69">
        <f t="shared" si="100"/>
        <v>219873782.17999998</v>
      </c>
      <c r="J363" s="69">
        <f t="shared" si="104"/>
        <v>0</v>
      </c>
      <c r="K363" s="69">
        <f t="shared" si="104"/>
        <v>0</v>
      </c>
      <c r="L363" s="3"/>
      <c r="M363" s="43"/>
    </row>
    <row r="364" spans="1:13" ht="25.5" x14ac:dyDescent="0.2">
      <c r="A364" s="141" t="s">
        <v>220</v>
      </c>
      <c r="B364" s="147" t="s">
        <v>249</v>
      </c>
      <c r="C364" s="123"/>
      <c r="D364" s="123"/>
      <c r="E364" s="124"/>
      <c r="F364" s="124"/>
      <c r="G364" s="124"/>
      <c r="H364" s="8">
        <f t="shared" si="98"/>
        <v>479892000</v>
      </c>
      <c r="I364" s="69">
        <f t="shared" si="100"/>
        <v>479892000</v>
      </c>
      <c r="J364" s="69">
        <f t="shared" si="104"/>
        <v>0</v>
      </c>
      <c r="K364" s="69">
        <f t="shared" si="104"/>
        <v>0</v>
      </c>
      <c r="L364" s="3"/>
      <c r="M364" s="43"/>
    </row>
    <row r="365" spans="1:13" ht="25.5" x14ac:dyDescent="0.2">
      <c r="A365" s="141" t="s">
        <v>178</v>
      </c>
      <c r="B365" s="147" t="s">
        <v>74</v>
      </c>
      <c r="C365" s="123"/>
      <c r="D365" s="123"/>
      <c r="E365" s="124"/>
      <c r="F365" s="124"/>
      <c r="G365" s="124"/>
      <c r="H365" s="8">
        <f t="shared" si="98"/>
        <v>3423353.85</v>
      </c>
      <c r="I365" s="69">
        <f t="shared" si="100"/>
        <v>1800575.76</v>
      </c>
      <c r="J365" s="69">
        <f t="shared" si="104"/>
        <v>1622778.09</v>
      </c>
      <c r="K365" s="69">
        <f t="shared" si="104"/>
        <v>0</v>
      </c>
      <c r="L365" s="3"/>
      <c r="M365" s="43"/>
    </row>
    <row r="366" spans="1:13" ht="25.5" x14ac:dyDescent="0.2">
      <c r="A366" s="141" t="s">
        <v>176</v>
      </c>
      <c r="B366" s="147" t="s">
        <v>357</v>
      </c>
      <c r="C366" s="123"/>
      <c r="D366" s="123"/>
      <c r="E366" s="124"/>
      <c r="F366" s="124"/>
      <c r="G366" s="124"/>
      <c r="H366" s="8">
        <f t="shared" si="98"/>
        <v>200000.29000000004</v>
      </c>
      <c r="I366" s="69">
        <f t="shared" si="100"/>
        <v>200000.29000000004</v>
      </c>
      <c r="J366" s="69">
        <f t="shared" si="104"/>
        <v>0</v>
      </c>
      <c r="K366" s="69">
        <f t="shared" si="104"/>
        <v>0</v>
      </c>
      <c r="L366" s="3"/>
      <c r="M366" s="43"/>
    </row>
    <row r="367" spans="1:13" ht="25.5" x14ac:dyDescent="0.2">
      <c r="A367" s="141" t="s">
        <v>176</v>
      </c>
      <c r="B367" s="147" t="s">
        <v>386</v>
      </c>
      <c r="C367" s="123"/>
      <c r="D367" s="123"/>
      <c r="E367" s="124"/>
      <c r="F367" s="124"/>
      <c r="G367" s="124"/>
      <c r="H367" s="8">
        <f t="shared" si="98"/>
        <v>30.69</v>
      </c>
      <c r="I367" s="69">
        <f t="shared" si="100"/>
        <v>30.69</v>
      </c>
      <c r="J367" s="69">
        <f t="shared" ref="J367:K367" si="105">J317</f>
        <v>0</v>
      </c>
      <c r="K367" s="69">
        <f t="shared" si="105"/>
        <v>0</v>
      </c>
      <c r="L367" s="3"/>
      <c r="M367" s="43"/>
    </row>
    <row r="368" spans="1:13" ht="25.5" x14ac:dyDescent="0.2">
      <c r="A368" s="141" t="s">
        <v>176</v>
      </c>
      <c r="B368" s="147" t="s">
        <v>411</v>
      </c>
      <c r="C368" s="123"/>
      <c r="D368" s="123"/>
      <c r="E368" s="124"/>
      <c r="F368" s="124"/>
      <c r="G368" s="124"/>
      <c r="H368" s="8">
        <f t="shared" si="98"/>
        <v>10933202.02</v>
      </c>
      <c r="I368" s="69">
        <f t="shared" si="100"/>
        <v>3891191.92</v>
      </c>
      <c r="J368" s="69">
        <f t="shared" ref="J368:K368" si="106">J318</f>
        <v>7042010.0999999996</v>
      </c>
      <c r="K368" s="69">
        <f t="shared" si="106"/>
        <v>0</v>
      </c>
      <c r="L368" s="3"/>
      <c r="M368" s="43"/>
    </row>
    <row r="369" spans="1:13" ht="25.5" x14ac:dyDescent="0.2">
      <c r="A369" s="141" t="s">
        <v>175</v>
      </c>
      <c r="B369" s="147" t="s">
        <v>75</v>
      </c>
      <c r="C369" s="123"/>
      <c r="D369" s="123"/>
      <c r="E369" s="124"/>
      <c r="F369" s="124"/>
      <c r="G369" s="124"/>
      <c r="H369" s="8">
        <f t="shared" si="98"/>
        <v>319108963.95999998</v>
      </c>
      <c r="I369" s="69">
        <f t="shared" si="100"/>
        <v>178257000</v>
      </c>
      <c r="J369" s="69">
        <f>J319</f>
        <v>140851963.95999998</v>
      </c>
      <c r="K369" s="69">
        <f>K319</f>
        <v>0</v>
      </c>
      <c r="L369" s="3"/>
      <c r="M369" s="43"/>
    </row>
    <row r="370" spans="1:13" ht="25.5" x14ac:dyDescent="0.2">
      <c r="A370" s="204" t="s">
        <v>177</v>
      </c>
      <c r="B370" s="205" t="s">
        <v>358</v>
      </c>
      <c r="C370" s="111"/>
      <c r="D370" s="111"/>
      <c r="E370" s="112"/>
      <c r="F370" s="112"/>
      <c r="G370" s="112"/>
      <c r="H370" s="8">
        <f t="shared" si="98"/>
        <v>19800029.120000005</v>
      </c>
      <c r="I370" s="78">
        <f t="shared" si="100"/>
        <v>19800029.120000005</v>
      </c>
      <c r="J370" s="78">
        <f>J320</f>
        <v>0</v>
      </c>
      <c r="K370" s="78">
        <f>K320</f>
        <v>0</v>
      </c>
      <c r="L370" s="3"/>
      <c r="M370" s="43"/>
    </row>
    <row r="371" spans="1:13" ht="25.5" x14ac:dyDescent="0.2">
      <c r="A371" s="141" t="s">
        <v>177</v>
      </c>
      <c r="B371" s="147" t="s">
        <v>386</v>
      </c>
      <c r="C371" s="111"/>
      <c r="D371" s="111"/>
      <c r="E371" s="112"/>
      <c r="F371" s="112"/>
      <c r="G371" s="112"/>
      <c r="H371" s="8">
        <f t="shared" si="98"/>
        <v>3038.02</v>
      </c>
      <c r="I371" s="78">
        <f t="shared" si="100"/>
        <v>3038.02</v>
      </c>
      <c r="J371" s="78">
        <f t="shared" ref="J371:K371" si="107">J321</f>
        <v>0</v>
      </c>
      <c r="K371" s="78">
        <f t="shared" si="107"/>
        <v>0</v>
      </c>
      <c r="L371" s="3"/>
      <c r="M371" s="43"/>
    </row>
    <row r="372" spans="1:13" ht="25.5" x14ac:dyDescent="0.2">
      <c r="A372" s="204" t="s">
        <v>177</v>
      </c>
      <c r="B372" s="147" t="s">
        <v>411</v>
      </c>
      <c r="C372" s="111"/>
      <c r="D372" s="111"/>
      <c r="E372" s="112"/>
      <c r="F372" s="112"/>
      <c r="G372" s="112"/>
      <c r="H372" s="8">
        <f t="shared" si="98"/>
        <v>1082387000</v>
      </c>
      <c r="I372" s="78">
        <f t="shared" si="100"/>
        <v>385228000</v>
      </c>
      <c r="J372" s="78">
        <f t="shared" ref="J372:K372" si="108">J322</f>
        <v>697159000</v>
      </c>
      <c r="K372" s="78">
        <f t="shared" si="108"/>
        <v>0</v>
      </c>
      <c r="L372" s="3"/>
      <c r="M372" s="43"/>
    </row>
    <row r="373" spans="1:13" ht="25.5" x14ac:dyDescent="0.2">
      <c r="A373" s="141" t="s">
        <v>179</v>
      </c>
      <c r="B373" s="147" t="s">
        <v>223</v>
      </c>
      <c r="C373" s="123"/>
      <c r="D373" s="123"/>
      <c r="E373" s="124"/>
      <c r="F373" s="124"/>
      <c r="G373" s="124"/>
      <c r="H373" s="8">
        <f t="shared" si="98"/>
        <v>3019944.87</v>
      </c>
      <c r="I373" s="69">
        <f t="shared" si="100"/>
        <v>3019944.87</v>
      </c>
      <c r="J373" s="69">
        <f t="shared" ref="J373:K373" si="109">J323</f>
        <v>0</v>
      </c>
      <c r="K373" s="69">
        <f t="shared" si="109"/>
        <v>0</v>
      </c>
      <c r="L373" s="3"/>
      <c r="M373" s="43"/>
    </row>
    <row r="374" spans="1:13" ht="25.5" x14ac:dyDescent="0.2">
      <c r="A374" s="141" t="s">
        <v>179</v>
      </c>
      <c r="B374" s="147" t="s">
        <v>364</v>
      </c>
      <c r="C374" s="111"/>
      <c r="D374" s="111"/>
      <c r="E374" s="112"/>
      <c r="F374" s="112"/>
      <c r="G374" s="112"/>
      <c r="H374" s="8">
        <f t="shared" si="98"/>
        <v>4190142.92</v>
      </c>
      <c r="I374" s="78">
        <f t="shared" si="100"/>
        <v>4190142.92</v>
      </c>
      <c r="J374" s="78">
        <f t="shared" ref="J374:K374" si="110">J324</f>
        <v>0</v>
      </c>
      <c r="K374" s="78">
        <f t="shared" si="110"/>
        <v>0</v>
      </c>
      <c r="L374" s="3"/>
      <c r="M374" s="43"/>
    </row>
    <row r="375" spans="1:13" ht="25.5" x14ac:dyDescent="0.2">
      <c r="A375" s="204" t="s">
        <v>180</v>
      </c>
      <c r="B375" s="205" t="s">
        <v>223</v>
      </c>
      <c r="C375" s="111"/>
      <c r="D375" s="111"/>
      <c r="E375" s="112"/>
      <c r="F375" s="112"/>
      <c r="G375" s="112"/>
      <c r="H375" s="8">
        <f t="shared" si="98"/>
        <v>298974542.06999999</v>
      </c>
      <c r="I375" s="78">
        <f t="shared" si="100"/>
        <v>298974542.06999999</v>
      </c>
      <c r="J375" s="78">
        <f>J325</f>
        <v>0</v>
      </c>
      <c r="K375" s="78">
        <f>K325</f>
        <v>0</v>
      </c>
      <c r="L375" s="3"/>
      <c r="M375" s="43"/>
    </row>
    <row r="376" spans="1:13" ht="25.5" x14ac:dyDescent="0.2">
      <c r="A376" s="141" t="s">
        <v>286</v>
      </c>
      <c r="B376" s="147" t="s">
        <v>93</v>
      </c>
      <c r="C376" s="111"/>
      <c r="D376" s="111"/>
      <c r="E376" s="112"/>
      <c r="F376" s="112"/>
      <c r="G376" s="112"/>
      <c r="H376" s="8">
        <f t="shared" si="98"/>
        <v>497410</v>
      </c>
      <c r="I376" s="78">
        <f t="shared" si="100"/>
        <v>497410</v>
      </c>
      <c r="J376" s="78">
        <f t="shared" ref="J376:K376" si="111">J326</f>
        <v>0</v>
      </c>
      <c r="K376" s="78">
        <f t="shared" si="111"/>
        <v>0</v>
      </c>
      <c r="L376" s="3"/>
      <c r="M376" s="43"/>
    </row>
    <row r="377" spans="1:13" ht="25.5" x14ac:dyDescent="0.2">
      <c r="A377" s="141" t="s">
        <v>256</v>
      </c>
      <c r="B377" s="147" t="s">
        <v>260</v>
      </c>
      <c r="C377" s="111"/>
      <c r="D377" s="111"/>
      <c r="E377" s="112"/>
      <c r="F377" s="112"/>
      <c r="G377" s="112"/>
      <c r="H377" s="8">
        <f t="shared" si="98"/>
        <v>1170861</v>
      </c>
      <c r="I377" s="78">
        <f t="shared" si="100"/>
        <v>1170861</v>
      </c>
      <c r="J377" s="78">
        <f>J327</f>
        <v>0</v>
      </c>
      <c r="K377" s="78">
        <f>K327</f>
        <v>0</v>
      </c>
      <c r="L377" s="3"/>
      <c r="M377" s="43"/>
    </row>
    <row r="378" spans="1:13" ht="25.5" x14ac:dyDescent="0.2">
      <c r="A378" s="141" t="s">
        <v>258</v>
      </c>
      <c r="B378" s="147" t="s">
        <v>261</v>
      </c>
      <c r="C378" s="123"/>
      <c r="D378" s="123"/>
      <c r="E378" s="124"/>
      <c r="F378" s="124"/>
      <c r="G378" s="124"/>
      <c r="H378" s="8">
        <f t="shared" si="98"/>
        <v>6954913</v>
      </c>
      <c r="I378" s="69">
        <f t="shared" si="100"/>
        <v>6954913</v>
      </c>
      <c r="J378" s="69">
        <f>J328</f>
        <v>0</v>
      </c>
      <c r="K378" s="69">
        <f>K328</f>
        <v>0</v>
      </c>
      <c r="L378" s="3"/>
      <c r="M378" s="43"/>
    </row>
    <row r="379" spans="1:13" ht="25.5" x14ac:dyDescent="0.2">
      <c r="A379" s="204" t="s">
        <v>254</v>
      </c>
      <c r="B379" s="205" t="s">
        <v>255</v>
      </c>
      <c r="C379" s="123"/>
      <c r="D379" s="123"/>
      <c r="E379" s="124"/>
      <c r="F379" s="124"/>
      <c r="G379" s="124"/>
      <c r="H379" s="8">
        <f t="shared" si="98"/>
        <v>108960300</v>
      </c>
      <c r="I379" s="69">
        <f t="shared" si="100"/>
        <v>108960300</v>
      </c>
      <c r="J379" s="69">
        <f t="shared" ref="J379:K379" si="112">J329</f>
        <v>0</v>
      </c>
      <c r="K379" s="69">
        <f t="shared" si="112"/>
        <v>0</v>
      </c>
      <c r="L379" s="3"/>
      <c r="M379" s="43"/>
    </row>
    <row r="380" spans="1:13" ht="25.5" x14ac:dyDescent="0.2">
      <c r="A380" s="141" t="s">
        <v>283</v>
      </c>
      <c r="B380" s="147" t="s">
        <v>278</v>
      </c>
      <c r="C380" s="123"/>
      <c r="D380" s="123"/>
      <c r="E380" s="124"/>
      <c r="F380" s="124"/>
      <c r="G380" s="124"/>
      <c r="H380" s="8">
        <f t="shared" si="98"/>
        <v>150000</v>
      </c>
      <c r="I380" s="69">
        <f t="shared" si="100"/>
        <v>150000</v>
      </c>
      <c r="J380" s="69">
        <f t="shared" ref="J380:K380" si="113">J330</f>
        <v>0</v>
      </c>
      <c r="K380" s="69">
        <f t="shared" si="113"/>
        <v>0</v>
      </c>
      <c r="L380" s="3"/>
      <c r="M380" s="43"/>
    </row>
    <row r="381" spans="1:13" ht="25.5" x14ac:dyDescent="0.2">
      <c r="A381" s="9" t="s">
        <v>181</v>
      </c>
      <c r="B381" s="5" t="s">
        <v>8</v>
      </c>
      <c r="C381" s="123"/>
      <c r="D381" s="123"/>
      <c r="E381" s="124"/>
      <c r="F381" s="124"/>
      <c r="G381" s="124"/>
      <c r="H381" s="8">
        <f t="shared" si="98"/>
        <v>4191275.2399999998</v>
      </c>
      <c r="I381" s="69">
        <f t="shared" si="100"/>
        <v>2979154.03</v>
      </c>
      <c r="J381" s="69">
        <f>J331</f>
        <v>1212121.21</v>
      </c>
      <c r="K381" s="69">
        <f>K331</f>
        <v>0</v>
      </c>
      <c r="L381" s="3"/>
      <c r="M381" s="43"/>
    </row>
    <row r="382" spans="1:13" ht="27.75" customHeight="1" thickBot="1" x14ac:dyDescent="0.25">
      <c r="A382" s="15" t="s">
        <v>182</v>
      </c>
      <c r="B382" s="6" t="s">
        <v>222</v>
      </c>
      <c r="C382" s="331"/>
      <c r="D382" s="331"/>
      <c r="E382" s="332"/>
      <c r="F382" s="332"/>
      <c r="G382" s="332"/>
      <c r="H382" s="13">
        <f t="shared" si="98"/>
        <v>414936249.18000001</v>
      </c>
      <c r="I382" s="70">
        <f t="shared" si="100"/>
        <v>294936249.18000001</v>
      </c>
      <c r="J382" s="70">
        <f>J332</f>
        <v>120000000</v>
      </c>
      <c r="K382" s="70">
        <f>K332</f>
        <v>0</v>
      </c>
      <c r="L382" s="3"/>
      <c r="M382" s="43"/>
    </row>
    <row r="383" spans="1:13" ht="30.75" customHeight="1" thickBot="1" x14ac:dyDescent="0.25">
      <c r="A383" s="418" t="s">
        <v>15</v>
      </c>
      <c r="B383" s="418"/>
      <c r="C383" s="418"/>
      <c r="D383" s="418"/>
      <c r="E383" s="418"/>
      <c r="F383" s="418"/>
      <c r="G383" s="418"/>
      <c r="H383" s="418"/>
      <c r="I383" s="418"/>
      <c r="J383" s="418"/>
      <c r="K383" s="418"/>
      <c r="L383" s="43"/>
      <c r="M383" s="43"/>
    </row>
    <row r="384" spans="1:13" ht="29.25" customHeight="1" thickBot="1" x14ac:dyDescent="0.25">
      <c r="A384" s="411" t="s">
        <v>16</v>
      </c>
      <c r="B384" s="411"/>
      <c r="C384" s="411"/>
      <c r="D384" s="411"/>
      <c r="E384" s="411"/>
      <c r="F384" s="411"/>
      <c r="G384" s="411"/>
      <c r="H384" s="411"/>
      <c r="I384" s="411"/>
      <c r="J384" s="411"/>
      <c r="K384" s="411"/>
      <c r="L384" s="43"/>
      <c r="M384" s="43"/>
    </row>
    <row r="385" spans="1:14" ht="68.25" customHeight="1" thickBot="1" x14ac:dyDescent="0.25">
      <c r="A385" s="185" t="s">
        <v>4</v>
      </c>
      <c r="B385" s="186"/>
      <c r="C385" s="187"/>
      <c r="D385" s="187"/>
      <c r="E385" s="188"/>
      <c r="F385" s="188"/>
      <c r="G385" s="188"/>
      <c r="H385" s="181">
        <f>I385+J385+K385</f>
        <v>361746000</v>
      </c>
      <c r="I385" s="181">
        <f>I386</f>
        <v>116275500</v>
      </c>
      <c r="J385" s="181">
        <f>J386</f>
        <v>134362800</v>
      </c>
      <c r="K385" s="181">
        <f>K386</f>
        <v>111107700</v>
      </c>
      <c r="L385" s="45"/>
      <c r="M385" s="43"/>
    </row>
    <row r="386" spans="1:14" ht="97.5" customHeight="1" x14ac:dyDescent="0.2">
      <c r="A386" s="167" t="s">
        <v>10</v>
      </c>
      <c r="B386" s="189" t="s">
        <v>51</v>
      </c>
      <c r="C386" s="190" t="s">
        <v>224</v>
      </c>
      <c r="D386" s="190" t="s">
        <v>225</v>
      </c>
      <c r="E386" s="179">
        <f>H386</f>
        <v>361746000</v>
      </c>
      <c r="F386" s="179"/>
      <c r="G386" s="179">
        <f>E386-F386</f>
        <v>361746000</v>
      </c>
      <c r="H386" s="179">
        <f t="shared" ref="H386:H393" si="114">I386+J386+K386</f>
        <v>361746000</v>
      </c>
      <c r="I386" s="179">
        <f>SUM(I387:I389)</f>
        <v>116275500</v>
      </c>
      <c r="J386" s="179">
        <f>SUM(J387:J389)</f>
        <v>134362800</v>
      </c>
      <c r="K386" s="179">
        <f>SUM(K387:K389)</f>
        <v>111107700</v>
      </c>
      <c r="L386" s="43"/>
      <c r="M386" s="43"/>
    </row>
    <row r="387" spans="1:14" ht="32.25" customHeight="1" x14ac:dyDescent="0.2">
      <c r="A387" s="141" t="s">
        <v>354</v>
      </c>
      <c r="B387" s="183" t="s">
        <v>12</v>
      </c>
      <c r="C387" s="191"/>
      <c r="D387" s="191"/>
      <c r="E387" s="173"/>
      <c r="F387" s="173"/>
      <c r="G387" s="173"/>
      <c r="H387" s="173">
        <f>SUM(I387:K387)</f>
        <v>163449695.65000001</v>
      </c>
      <c r="I387" s="173">
        <f>69975604.26-0.01+31102500+15771595.75-574200</f>
        <v>116275500</v>
      </c>
      <c r="J387" s="173">
        <v>36693452.170000002</v>
      </c>
      <c r="K387" s="173">
        <v>10480743.48</v>
      </c>
      <c r="L387" s="43"/>
      <c r="M387" s="43"/>
      <c r="N387" s="43"/>
    </row>
    <row r="388" spans="1:14" ht="33.75" customHeight="1" x14ac:dyDescent="0.2">
      <c r="A388" s="141" t="s">
        <v>11</v>
      </c>
      <c r="B388" s="183" t="s">
        <v>262</v>
      </c>
      <c r="C388" s="191"/>
      <c r="D388" s="191"/>
      <c r="E388" s="173"/>
      <c r="F388" s="173"/>
      <c r="G388" s="173"/>
      <c r="H388" s="173">
        <f>SUM(I388:K388)</f>
        <v>15863704.35</v>
      </c>
      <c r="I388" s="173">
        <f>3243095.74+0.01-430650-1866150-946295.75</f>
        <v>0</v>
      </c>
      <c r="J388" s="173">
        <v>7813547.8300000001</v>
      </c>
      <c r="K388" s="173">
        <v>8050156.5199999996</v>
      </c>
      <c r="L388" s="43"/>
      <c r="M388" s="43"/>
      <c r="N388" s="43"/>
    </row>
    <row r="389" spans="1:14" ht="31.5" customHeight="1" thickBot="1" x14ac:dyDescent="0.25">
      <c r="A389" s="141" t="s">
        <v>13</v>
      </c>
      <c r="B389" s="183" t="s">
        <v>263</v>
      </c>
      <c r="C389" s="191"/>
      <c r="D389" s="191"/>
      <c r="E389" s="173"/>
      <c r="F389" s="173"/>
      <c r="G389" s="173"/>
      <c r="H389" s="173">
        <f>SUM(I389:K389)</f>
        <v>182432600</v>
      </c>
      <c r="I389" s="173">
        <f>50808500-6746850-29236350-14825300</f>
        <v>0</v>
      </c>
      <c r="J389" s="173">
        <v>89855800</v>
      </c>
      <c r="K389" s="173">
        <v>92576800</v>
      </c>
      <c r="L389" s="43"/>
      <c r="M389" s="43"/>
      <c r="N389" s="43"/>
    </row>
    <row r="390" spans="1:14" ht="24.75" customHeight="1" thickBot="1" x14ac:dyDescent="0.25">
      <c r="A390" s="412" t="s">
        <v>5</v>
      </c>
      <c r="B390" s="413"/>
      <c r="C390" s="50"/>
      <c r="D390" s="50"/>
      <c r="E390" s="50"/>
      <c r="F390" s="50"/>
      <c r="G390" s="50"/>
      <c r="H390" s="50">
        <f t="shared" si="114"/>
        <v>361746000</v>
      </c>
      <c r="I390" s="50">
        <f>SUM(I391:I393)</f>
        <v>116275500</v>
      </c>
      <c r="J390" s="50">
        <f>SUM(J391:J393)</f>
        <v>134362800</v>
      </c>
      <c r="K390" s="50">
        <f>SUM(K391:K393)</f>
        <v>111107700</v>
      </c>
      <c r="L390" s="43"/>
      <c r="M390" s="43"/>
    </row>
    <row r="391" spans="1:14" ht="32.25" customHeight="1" x14ac:dyDescent="0.2">
      <c r="A391" s="142" t="s">
        <v>354</v>
      </c>
      <c r="B391" s="182">
        <v>9253</v>
      </c>
      <c r="C391" s="167"/>
      <c r="D391" s="167"/>
      <c r="E391" s="167"/>
      <c r="F391" s="167"/>
      <c r="G391" s="167"/>
      <c r="H391" s="179">
        <f t="shared" si="114"/>
        <v>163449695.65000001</v>
      </c>
      <c r="I391" s="179">
        <f t="shared" ref="I391:K393" si="115">I387</f>
        <v>116275500</v>
      </c>
      <c r="J391" s="179">
        <f t="shared" si="115"/>
        <v>36693452.170000002</v>
      </c>
      <c r="K391" s="179">
        <f t="shared" si="115"/>
        <v>10480743.48</v>
      </c>
      <c r="L391" s="43"/>
      <c r="M391" s="43"/>
    </row>
    <row r="392" spans="1:14" ht="31.5" customHeight="1" x14ac:dyDescent="0.2">
      <c r="A392" s="141" t="s">
        <v>11</v>
      </c>
      <c r="B392" s="183" t="s">
        <v>226</v>
      </c>
      <c r="C392" s="184"/>
      <c r="D392" s="184"/>
      <c r="E392" s="184"/>
      <c r="F392" s="184"/>
      <c r="G392" s="184"/>
      <c r="H392" s="173">
        <f t="shared" si="114"/>
        <v>15863704.35</v>
      </c>
      <c r="I392" s="173">
        <f t="shared" si="115"/>
        <v>0</v>
      </c>
      <c r="J392" s="173">
        <f t="shared" si="115"/>
        <v>7813547.8300000001</v>
      </c>
      <c r="K392" s="173">
        <f t="shared" si="115"/>
        <v>8050156.5199999996</v>
      </c>
      <c r="L392" s="43"/>
      <c r="M392" s="43"/>
    </row>
    <row r="393" spans="1:14" ht="33.75" customHeight="1" thickBot="1" x14ac:dyDescent="0.25">
      <c r="A393" s="141" t="s">
        <v>13</v>
      </c>
      <c r="B393" s="183" t="s">
        <v>227</v>
      </c>
      <c r="C393" s="184"/>
      <c r="D393" s="184"/>
      <c r="E393" s="184"/>
      <c r="F393" s="184"/>
      <c r="G393" s="184"/>
      <c r="H393" s="173">
        <f t="shared" si="114"/>
        <v>182432600</v>
      </c>
      <c r="I393" s="173">
        <f t="shared" si="115"/>
        <v>0</v>
      </c>
      <c r="J393" s="173">
        <f t="shared" si="115"/>
        <v>89855800</v>
      </c>
      <c r="K393" s="173">
        <f t="shared" si="115"/>
        <v>92576800</v>
      </c>
      <c r="L393" s="43"/>
      <c r="M393" s="43"/>
    </row>
    <row r="394" spans="1:14" ht="24.75" customHeight="1" thickBot="1" x14ac:dyDescent="0.25">
      <c r="A394" s="414" t="s">
        <v>5</v>
      </c>
      <c r="B394" s="415"/>
      <c r="C394" s="110"/>
      <c r="D394" s="110"/>
      <c r="E394" s="110"/>
      <c r="F394" s="110"/>
      <c r="G394" s="110"/>
      <c r="H394" s="105">
        <f>I394+J394+K394</f>
        <v>361746000</v>
      </c>
      <c r="I394" s="105">
        <f>SUM(I395:I397)</f>
        <v>116275500</v>
      </c>
      <c r="J394" s="105">
        <f>SUM(J395:J397)</f>
        <v>134362800</v>
      </c>
      <c r="K394" s="105">
        <f>SUM(K395:K397)</f>
        <v>111107700</v>
      </c>
      <c r="L394" s="64">
        <f>SUM(H395:H397)</f>
        <v>361746000</v>
      </c>
      <c r="M394" s="43"/>
    </row>
    <row r="395" spans="1:14" ht="29.25" customHeight="1" x14ac:dyDescent="0.2">
      <c r="A395" s="125" t="s">
        <v>355</v>
      </c>
      <c r="B395" s="139">
        <v>9253</v>
      </c>
      <c r="C395" s="28"/>
      <c r="D395" s="28"/>
      <c r="E395" s="29"/>
      <c r="F395" s="29"/>
      <c r="G395" s="29"/>
      <c r="H395" s="68">
        <f>I395+J395+K395</f>
        <v>163449695.65000001</v>
      </c>
      <c r="I395" s="29">
        <f t="shared" ref="I395:K397" si="116">I391</f>
        <v>116275500</v>
      </c>
      <c r="J395" s="29">
        <f t="shared" si="116"/>
        <v>36693452.170000002</v>
      </c>
      <c r="K395" s="29">
        <f t="shared" si="116"/>
        <v>10480743.48</v>
      </c>
      <c r="L395" s="43"/>
      <c r="M395" s="43"/>
    </row>
    <row r="396" spans="1:14" ht="30" customHeight="1" x14ac:dyDescent="0.2">
      <c r="A396" s="80" t="s">
        <v>11</v>
      </c>
      <c r="B396" s="116" t="s">
        <v>129</v>
      </c>
      <c r="C396" s="11"/>
      <c r="D396" s="11"/>
      <c r="E396" s="8"/>
      <c r="F396" s="8"/>
      <c r="G396" s="8"/>
      <c r="H396" s="69">
        <f>I396+J396+K396</f>
        <v>15863704.35</v>
      </c>
      <c r="I396" s="8">
        <f t="shared" si="116"/>
        <v>0</v>
      </c>
      <c r="J396" s="8">
        <f t="shared" si="116"/>
        <v>7813547.8300000001</v>
      </c>
      <c r="K396" s="8">
        <f t="shared" si="116"/>
        <v>8050156.5199999996</v>
      </c>
      <c r="L396" s="43"/>
      <c r="M396" s="43"/>
    </row>
    <row r="397" spans="1:14" ht="31.5" customHeight="1" thickBot="1" x14ac:dyDescent="0.25">
      <c r="A397" s="9" t="s">
        <v>13</v>
      </c>
      <c r="B397" s="116" t="s">
        <v>128</v>
      </c>
      <c r="C397" s="11"/>
      <c r="D397" s="11"/>
      <c r="E397" s="8"/>
      <c r="F397" s="8"/>
      <c r="G397" s="8"/>
      <c r="H397" s="69">
        <f>I397+J397+K397</f>
        <v>182432600</v>
      </c>
      <c r="I397" s="8">
        <f t="shared" si="116"/>
        <v>0</v>
      </c>
      <c r="J397" s="8">
        <f t="shared" si="116"/>
        <v>89855800</v>
      </c>
      <c r="K397" s="8">
        <f t="shared" si="116"/>
        <v>92576800</v>
      </c>
      <c r="L397" s="43"/>
      <c r="M397" s="43"/>
    </row>
    <row r="398" spans="1:14" ht="69.75" customHeight="1" x14ac:dyDescent="0.25">
      <c r="A398" s="33"/>
      <c r="B398" s="416" t="s">
        <v>285</v>
      </c>
      <c r="C398" s="416"/>
      <c r="D398" s="416"/>
      <c r="E398" s="416"/>
      <c r="F398" s="416"/>
      <c r="G398" s="416"/>
      <c r="H398" s="416"/>
      <c r="I398" s="416"/>
      <c r="J398" s="416"/>
      <c r="K398" s="416"/>
      <c r="L398" s="20"/>
    </row>
    <row r="399" spans="1:14" ht="33" customHeight="1" x14ac:dyDescent="0.25">
      <c r="A399" s="408" t="s">
        <v>9</v>
      </c>
      <c r="B399" s="408"/>
      <c r="C399" s="408"/>
      <c r="D399" s="408"/>
      <c r="E399" s="408"/>
      <c r="F399" s="408"/>
      <c r="G399" s="241"/>
      <c r="H399" s="241"/>
      <c r="I399" s="417" t="s">
        <v>413</v>
      </c>
      <c r="J399" s="417"/>
      <c r="K399" s="417"/>
      <c r="L399" s="20"/>
    </row>
    <row r="400" spans="1:14" ht="31.5" customHeight="1" x14ac:dyDescent="0.2">
      <c r="A400" s="408"/>
      <c r="B400" s="408"/>
      <c r="C400" s="408"/>
      <c r="D400" s="408"/>
      <c r="E400" s="408"/>
      <c r="F400" s="408"/>
      <c r="G400" s="242"/>
      <c r="H400" s="242"/>
      <c r="I400" s="409"/>
      <c r="J400" s="409"/>
      <c r="K400" s="409"/>
      <c r="L400" s="20"/>
    </row>
    <row r="401" spans="1:12" ht="29.25" customHeight="1" x14ac:dyDescent="0.2">
      <c r="A401" s="404" t="s">
        <v>400</v>
      </c>
      <c r="B401" s="404"/>
      <c r="C401" s="404"/>
      <c r="D401" s="404"/>
      <c r="E401" s="404"/>
      <c r="F401" s="404"/>
      <c r="G401" s="230"/>
      <c r="H401" s="230"/>
      <c r="I401" s="410" t="s">
        <v>401</v>
      </c>
      <c r="J401" s="410"/>
      <c r="K401" s="410"/>
      <c r="L401" s="20"/>
    </row>
    <row r="402" spans="1:12" ht="16.5" customHeight="1" x14ac:dyDescent="0.2">
      <c r="A402" s="408"/>
      <c r="B402" s="408"/>
      <c r="C402" s="408"/>
      <c r="D402" s="408"/>
      <c r="E402" s="408"/>
      <c r="F402" s="408"/>
      <c r="G402" s="242"/>
      <c r="H402" s="242"/>
      <c r="I402" s="409"/>
      <c r="J402" s="409"/>
      <c r="K402" s="409"/>
      <c r="L402" s="20"/>
    </row>
    <row r="403" spans="1:12" ht="18.75" customHeight="1" x14ac:dyDescent="0.25">
      <c r="A403" s="404" t="s">
        <v>138</v>
      </c>
      <c r="B403" s="404"/>
      <c r="C403" s="404"/>
      <c r="D403" s="404"/>
      <c r="E403" s="404"/>
      <c r="F403" s="404"/>
      <c r="G403" s="231"/>
      <c r="H403" s="231"/>
      <c r="I403" s="405" t="s">
        <v>139</v>
      </c>
      <c r="J403" s="405"/>
      <c r="K403" s="405"/>
      <c r="L403" s="20"/>
    </row>
    <row r="404" spans="1:12" ht="15.75" x14ac:dyDescent="0.2">
      <c r="A404" s="406"/>
      <c r="B404" s="406"/>
      <c r="C404" s="406"/>
      <c r="D404" s="406"/>
      <c r="E404" s="406"/>
      <c r="F404" s="406"/>
      <c r="G404" s="243"/>
      <c r="H404" s="243"/>
      <c r="I404" s="407"/>
      <c r="J404" s="407"/>
      <c r="K404" s="407"/>
      <c r="L404" s="20"/>
    </row>
    <row r="405" spans="1:12" x14ac:dyDescent="0.2">
      <c r="A405" s="16"/>
      <c r="B405" s="17"/>
      <c r="C405" s="18"/>
      <c r="D405" s="18"/>
      <c r="E405" s="19"/>
      <c r="F405" s="19"/>
      <c r="G405" s="19"/>
      <c r="H405" s="19"/>
      <c r="I405" s="19"/>
      <c r="J405" s="19"/>
      <c r="K405" s="19"/>
      <c r="L405" s="20"/>
    </row>
    <row r="406" spans="1:12" x14ac:dyDescent="0.2">
      <c r="A406" s="16"/>
      <c r="B406" s="17"/>
      <c r="C406" s="18"/>
      <c r="D406" s="18"/>
      <c r="E406" s="19"/>
      <c r="F406" s="19"/>
      <c r="G406" s="19"/>
      <c r="H406" s="19"/>
      <c r="I406" s="19"/>
      <c r="J406" s="19"/>
      <c r="K406" s="19"/>
      <c r="L406" s="20"/>
    </row>
    <row r="407" spans="1:12" x14ac:dyDescent="0.2">
      <c r="A407" s="16"/>
      <c r="B407" s="17"/>
      <c r="C407" s="18"/>
      <c r="D407" s="18"/>
      <c r="E407" s="19"/>
      <c r="F407" s="19"/>
      <c r="G407" s="19"/>
      <c r="H407" s="19"/>
      <c r="I407" s="19"/>
      <c r="J407" s="19"/>
      <c r="K407" s="19"/>
      <c r="L407" s="20"/>
    </row>
    <row r="408" spans="1:12" x14ac:dyDescent="0.2">
      <c r="A408" s="16"/>
      <c r="B408" s="17"/>
      <c r="C408" s="18"/>
      <c r="D408" s="18"/>
      <c r="E408" s="19"/>
      <c r="F408" s="19"/>
      <c r="G408" s="19"/>
      <c r="H408" s="19"/>
      <c r="I408" s="19"/>
      <c r="J408" s="19"/>
      <c r="K408" s="19"/>
      <c r="L408" s="20"/>
    </row>
    <row r="409" spans="1:12" x14ac:dyDescent="0.2">
      <c r="A409" s="16"/>
      <c r="B409" s="17"/>
      <c r="C409" s="18"/>
      <c r="D409" s="18"/>
      <c r="E409" s="19"/>
      <c r="F409" s="19"/>
      <c r="G409" s="19"/>
      <c r="H409" s="19"/>
      <c r="I409" s="19"/>
      <c r="J409" s="19"/>
      <c r="K409" s="19"/>
      <c r="L409" s="20"/>
    </row>
    <row r="410" spans="1:12" x14ac:dyDescent="0.2">
      <c r="A410" s="16"/>
      <c r="B410" s="17"/>
      <c r="C410" s="18"/>
      <c r="D410" s="18"/>
      <c r="E410" s="19"/>
      <c r="F410" s="19"/>
      <c r="G410" s="19"/>
      <c r="H410" s="19"/>
      <c r="I410" s="19"/>
      <c r="J410" s="19"/>
      <c r="K410" s="19"/>
      <c r="L410" s="20"/>
    </row>
    <row r="411" spans="1:12" x14ac:dyDescent="0.2">
      <c r="A411" s="16"/>
      <c r="B411" s="17"/>
      <c r="C411" s="18"/>
      <c r="D411" s="18"/>
      <c r="E411" s="19"/>
      <c r="F411" s="19"/>
      <c r="G411" s="19"/>
      <c r="H411" s="19"/>
      <c r="I411" s="19"/>
      <c r="J411" s="19"/>
      <c r="K411" s="19"/>
      <c r="L411" s="20"/>
    </row>
    <row r="412" spans="1:12" x14ac:dyDescent="0.2">
      <c r="A412" s="16"/>
      <c r="B412" s="17"/>
      <c r="C412" s="18"/>
      <c r="D412" s="18"/>
      <c r="E412" s="19"/>
      <c r="F412" s="19"/>
      <c r="G412" s="19"/>
      <c r="H412" s="19"/>
      <c r="I412" s="19"/>
      <c r="J412" s="19"/>
      <c r="K412" s="19"/>
      <c r="L412" s="20"/>
    </row>
    <row r="413" spans="1:12" x14ac:dyDescent="0.2">
      <c r="A413" s="16"/>
      <c r="B413" s="17"/>
      <c r="C413" s="18"/>
      <c r="D413" s="18"/>
      <c r="E413" s="19"/>
      <c r="F413" s="19"/>
      <c r="G413" s="19"/>
      <c r="H413" s="19"/>
      <c r="I413" s="19"/>
      <c r="J413" s="19"/>
      <c r="K413" s="19"/>
      <c r="L413" s="20"/>
    </row>
    <row r="414" spans="1:12" x14ac:dyDescent="0.2">
      <c r="A414" s="16"/>
      <c r="B414" s="17"/>
      <c r="C414" s="18"/>
      <c r="D414" s="18"/>
      <c r="E414" s="19"/>
      <c r="F414" s="19"/>
      <c r="G414" s="19"/>
      <c r="H414" s="19"/>
      <c r="I414" s="19"/>
      <c r="J414" s="19"/>
      <c r="K414" s="19"/>
      <c r="L414" s="20"/>
    </row>
    <row r="415" spans="1:12" x14ac:dyDescent="0.2">
      <c r="A415" s="16"/>
      <c r="B415" s="17"/>
      <c r="C415" s="18"/>
      <c r="D415" s="18"/>
      <c r="E415" s="19"/>
      <c r="F415" s="19"/>
      <c r="G415" s="19"/>
      <c r="H415" s="19"/>
      <c r="I415" s="19"/>
      <c r="J415" s="19"/>
      <c r="K415" s="19"/>
      <c r="L415" s="20"/>
    </row>
    <row r="416" spans="1:12" x14ac:dyDescent="0.2">
      <c r="A416" s="16"/>
      <c r="B416" s="17"/>
      <c r="C416" s="18"/>
      <c r="D416" s="18"/>
      <c r="E416" s="19"/>
      <c r="F416" s="19"/>
      <c r="G416" s="19"/>
      <c r="H416" s="19"/>
      <c r="I416" s="19"/>
      <c r="J416" s="19"/>
      <c r="K416" s="19"/>
      <c r="L416" s="20"/>
    </row>
    <row r="417" spans="1:12" x14ac:dyDescent="0.2">
      <c r="A417" s="16"/>
      <c r="B417" s="17"/>
      <c r="C417" s="18"/>
      <c r="D417" s="18"/>
      <c r="E417" s="19"/>
      <c r="F417" s="19"/>
      <c r="G417" s="19"/>
      <c r="H417" s="19"/>
      <c r="I417" s="19"/>
      <c r="J417" s="19"/>
      <c r="K417" s="19"/>
      <c r="L417" s="20"/>
    </row>
    <row r="418" spans="1:12" x14ac:dyDescent="0.2">
      <c r="A418" s="16"/>
      <c r="B418" s="17"/>
      <c r="C418" s="18"/>
      <c r="D418" s="18"/>
      <c r="E418" s="19"/>
      <c r="F418" s="19"/>
      <c r="G418" s="19"/>
      <c r="H418" s="19"/>
      <c r="I418" s="19"/>
      <c r="J418" s="19"/>
      <c r="K418" s="19"/>
      <c r="L418" s="20"/>
    </row>
    <row r="419" spans="1:12" x14ac:dyDescent="0.2">
      <c r="A419" s="16"/>
      <c r="B419" s="17"/>
      <c r="C419" s="18"/>
      <c r="D419" s="18"/>
      <c r="E419" s="19"/>
      <c r="F419" s="19"/>
      <c r="G419" s="19"/>
      <c r="H419" s="19"/>
      <c r="I419" s="19"/>
      <c r="J419" s="19"/>
      <c r="K419" s="19"/>
      <c r="L419" s="20"/>
    </row>
    <row r="420" spans="1:12" x14ac:dyDescent="0.2">
      <c r="A420" s="16"/>
      <c r="B420" s="17"/>
      <c r="C420" s="18"/>
      <c r="D420" s="18"/>
      <c r="E420" s="19"/>
      <c r="F420" s="19"/>
      <c r="G420" s="19"/>
      <c r="H420" s="19"/>
      <c r="I420" s="19"/>
      <c r="J420" s="19"/>
      <c r="K420" s="19"/>
      <c r="L420" s="20"/>
    </row>
    <row r="421" spans="1:12" x14ac:dyDescent="0.2">
      <c r="A421" s="16"/>
      <c r="B421" s="17"/>
      <c r="C421" s="18"/>
      <c r="D421" s="18"/>
      <c r="E421" s="19"/>
      <c r="F421" s="19"/>
      <c r="G421" s="19"/>
      <c r="H421" s="19"/>
      <c r="I421" s="19"/>
      <c r="J421" s="19"/>
      <c r="K421" s="19"/>
      <c r="L421" s="20"/>
    </row>
    <row r="422" spans="1:12" x14ac:dyDescent="0.2">
      <c r="A422" s="16"/>
      <c r="B422" s="17"/>
      <c r="C422" s="18"/>
      <c r="D422" s="18"/>
      <c r="E422" s="19"/>
      <c r="F422" s="19"/>
      <c r="G422" s="19"/>
      <c r="H422" s="19"/>
      <c r="I422" s="19"/>
      <c r="J422" s="19"/>
      <c r="K422" s="19"/>
      <c r="L422" s="20"/>
    </row>
    <row r="423" spans="1:12" x14ac:dyDescent="0.2">
      <c r="A423" s="16"/>
      <c r="B423" s="17"/>
      <c r="C423" s="18"/>
      <c r="D423" s="18"/>
      <c r="E423" s="19"/>
      <c r="F423" s="19"/>
      <c r="G423" s="19"/>
      <c r="H423" s="19"/>
      <c r="I423" s="19"/>
      <c r="J423" s="19"/>
      <c r="K423" s="19"/>
      <c r="L423" s="20"/>
    </row>
    <row r="424" spans="1:12" x14ac:dyDescent="0.2">
      <c r="A424" s="16"/>
      <c r="B424" s="17"/>
      <c r="C424" s="18"/>
      <c r="D424" s="18"/>
      <c r="E424" s="19"/>
      <c r="F424" s="19"/>
      <c r="G424" s="19"/>
      <c r="H424" s="19"/>
      <c r="I424" s="19"/>
      <c r="J424" s="19"/>
      <c r="K424" s="19"/>
      <c r="L424" s="20"/>
    </row>
    <row r="425" spans="1:12" x14ac:dyDescent="0.2">
      <c r="A425" s="16"/>
      <c r="B425" s="17"/>
      <c r="C425" s="18"/>
      <c r="D425" s="18"/>
      <c r="E425" s="19"/>
      <c r="F425" s="19"/>
      <c r="G425" s="19"/>
      <c r="H425" s="19"/>
      <c r="I425" s="19"/>
      <c r="J425" s="19"/>
      <c r="K425" s="19"/>
      <c r="L425" s="20"/>
    </row>
    <row r="426" spans="1:12" x14ac:dyDescent="0.2">
      <c r="A426" s="16"/>
      <c r="B426" s="17"/>
      <c r="C426" s="18"/>
      <c r="D426" s="18"/>
      <c r="E426" s="19"/>
      <c r="F426" s="19"/>
      <c r="G426" s="19"/>
      <c r="H426" s="19"/>
      <c r="I426" s="19"/>
      <c r="J426" s="19"/>
      <c r="K426" s="19"/>
      <c r="L426" s="20"/>
    </row>
    <row r="427" spans="1:12" x14ac:dyDescent="0.2">
      <c r="A427" s="16"/>
      <c r="B427" s="17"/>
      <c r="C427" s="18"/>
      <c r="D427" s="18"/>
      <c r="E427" s="19"/>
      <c r="F427" s="19"/>
      <c r="G427" s="19"/>
      <c r="H427" s="19"/>
      <c r="I427" s="19"/>
      <c r="J427" s="19"/>
      <c r="K427" s="19"/>
      <c r="L427" s="20"/>
    </row>
    <row r="428" spans="1:12" x14ac:dyDescent="0.2">
      <c r="A428" s="16"/>
      <c r="B428" s="17"/>
      <c r="C428" s="18"/>
      <c r="D428" s="18"/>
      <c r="E428" s="19"/>
      <c r="F428" s="19"/>
      <c r="G428" s="19"/>
      <c r="H428" s="19"/>
      <c r="I428" s="19"/>
      <c r="J428" s="19"/>
      <c r="K428" s="19"/>
      <c r="L428" s="20"/>
    </row>
    <row r="429" spans="1:12" x14ac:dyDescent="0.2">
      <c r="A429" s="16"/>
      <c r="B429" s="17"/>
      <c r="C429" s="18"/>
      <c r="D429" s="18"/>
      <c r="E429" s="19"/>
      <c r="F429" s="19"/>
      <c r="G429" s="19"/>
      <c r="H429" s="19"/>
      <c r="I429" s="19"/>
      <c r="J429" s="19"/>
      <c r="K429" s="19"/>
      <c r="L429" s="20"/>
    </row>
    <row r="430" spans="1:12" x14ac:dyDescent="0.2">
      <c r="A430" s="16"/>
      <c r="B430" s="17"/>
      <c r="C430" s="18"/>
      <c r="D430" s="18"/>
      <c r="E430" s="19"/>
      <c r="F430" s="19"/>
      <c r="G430" s="19"/>
      <c r="H430" s="19"/>
      <c r="I430" s="19"/>
      <c r="J430" s="19"/>
      <c r="K430" s="19"/>
      <c r="L430" s="20"/>
    </row>
    <row r="431" spans="1:12" x14ac:dyDescent="0.2">
      <c r="A431" s="16"/>
      <c r="B431" s="17"/>
      <c r="C431" s="18"/>
      <c r="D431" s="18"/>
      <c r="E431" s="19"/>
      <c r="F431" s="19"/>
      <c r="G431" s="19"/>
      <c r="H431" s="19"/>
      <c r="I431" s="19"/>
      <c r="J431" s="19"/>
      <c r="K431" s="19"/>
      <c r="L431" s="20"/>
    </row>
    <row r="432" spans="1:12" x14ac:dyDescent="0.2">
      <c r="A432" s="16"/>
      <c r="B432" s="17"/>
      <c r="C432" s="18"/>
      <c r="D432" s="18"/>
      <c r="E432" s="19"/>
      <c r="F432" s="19"/>
      <c r="G432" s="19"/>
      <c r="H432" s="19"/>
      <c r="I432" s="19"/>
      <c r="J432" s="19"/>
      <c r="K432" s="19"/>
      <c r="L432" s="20"/>
    </row>
    <row r="433" spans="1:12" x14ac:dyDescent="0.2">
      <c r="A433" s="16"/>
      <c r="B433" s="17"/>
      <c r="C433" s="18"/>
      <c r="D433" s="18"/>
      <c r="E433" s="19"/>
      <c r="F433" s="19"/>
      <c r="G433" s="19"/>
      <c r="H433" s="19"/>
      <c r="I433" s="19"/>
      <c r="J433" s="19"/>
      <c r="K433" s="19"/>
      <c r="L433" s="20"/>
    </row>
    <row r="434" spans="1:12" x14ac:dyDescent="0.2">
      <c r="A434" s="16"/>
      <c r="B434" s="17"/>
      <c r="C434" s="18"/>
      <c r="D434" s="18"/>
      <c r="E434" s="19"/>
      <c r="F434" s="19"/>
      <c r="G434" s="19"/>
      <c r="H434" s="19"/>
      <c r="I434" s="19"/>
      <c r="J434" s="19"/>
      <c r="K434" s="19"/>
      <c r="L434" s="20"/>
    </row>
    <row r="435" spans="1:12" x14ac:dyDescent="0.2">
      <c r="A435" s="16"/>
      <c r="B435" s="17"/>
      <c r="C435" s="18"/>
      <c r="D435" s="18"/>
      <c r="E435" s="19"/>
      <c r="F435" s="19"/>
      <c r="G435" s="19"/>
      <c r="H435" s="19"/>
      <c r="I435" s="19"/>
      <c r="J435" s="19"/>
      <c r="K435" s="19"/>
      <c r="L435" s="20"/>
    </row>
    <row r="436" spans="1:12" x14ac:dyDescent="0.2">
      <c r="A436" s="16"/>
      <c r="B436" s="17"/>
      <c r="C436" s="18"/>
      <c r="D436" s="18"/>
      <c r="E436" s="19"/>
      <c r="F436" s="19"/>
      <c r="G436" s="19"/>
      <c r="H436" s="19"/>
      <c r="I436" s="19"/>
      <c r="J436" s="19"/>
      <c r="K436" s="19"/>
      <c r="L436" s="20"/>
    </row>
    <row r="437" spans="1:12" x14ac:dyDescent="0.2">
      <c r="A437" s="16"/>
      <c r="B437" s="17"/>
      <c r="C437" s="18"/>
      <c r="D437" s="18"/>
      <c r="E437" s="19"/>
      <c r="F437" s="19"/>
      <c r="G437" s="19"/>
      <c r="H437" s="19"/>
      <c r="I437" s="19"/>
      <c r="J437" s="19"/>
      <c r="K437" s="19"/>
      <c r="L437" s="20"/>
    </row>
    <row r="438" spans="1:12" x14ac:dyDescent="0.2">
      <c r="A438" s="16"/>
      <c r="B438" s="17"/>
      <c r="C438" s="18"/>
      <c r="D438" s="18"/>
      <c r="E438" s="19"/>
      <c r="F438" s="19"/>
      <c r="G438" s="19"/>
      <c r="H438" s="19"/>
      <c r="I438" s="19"/>
      <c r="J438" s="19"/>
      <c r="K438" s="19"/>
      <c r="L438" s="20"/>
    </row>
    <row r="439" spans="1:12" x14ac:dyDescent="0.2">
      <c r="A439" s="16"/>
      <c r="B439" s="17"/>
      <c r="C439" s="18"/>
      <c r="D439" s="18"/>
      <c r="E439" s="19"/>
      <c r="F439" s="19"/>
      <c r="G439" s="19"/>
      <c r="H439" s="19"/>
      <c r="I439" s="19"/>
      <c r="J439" s="19"/>
      <c r="K439" s="19"/>
      <c r="L439" s="20"/>
    </row>
    <row r="440" spans="1:12" x14ac:dyDescent="0.2">
      <c r="A440" s="16"/>
      <c r="B440" s="17"/>
      <c r="C440" s="18"/>
      <c r="D440" s="18"/>
      <c r="E440" s="19"/>
      <c r="F440" s="19"/>
      <c r="G440" s="19"/>
      <c r="H440" s="19"/>
      <c r="I440" s="19"/>
      <c r="J440" s="19"/>
      <c r="K440" s="19"/>
      <c r="L440" s="20"/>
    </row>
    <row r="441" spans="1:12" x14ac:dyDescent="0.2">
      <c r="A441" s="16"/>
      <c r="B441" s="17"/>
      <c r="C441" s="18"/>
      <c r="D441" s="18"/>
      <c r="E441" s="19"/>
      <c r="F441" s="19"/>
      <c r="G441" s="19"/>
      <c r="H441" s="19"/>
      <c r="I441" s="19"/>
      <c r="J441" s="19"/>
      <c r="K441" s="19"/>
      <c r="L441" s="20"/>
    </row>
    <row r="442" spans="1:12" x14ac:dyDescent="0.2">
      <c r="A442" s="16"/>
      <c r="B442" s="17"/>
      <c r="C442" s="18"/>
      <c r="D442" s="18"/>
      <c r="E442" s="19"/>
      <c r="F442" s="19"/>
      <c r="G442" s="19"/>
      <c r="H442" s="19"/>
      <c r="I442" s="19"/>
      <c r="J442" s="19"/>
      <c r="K442" s="19"/>
      <c r="L442" s="20"/>
    </row>
    <row r="443" spans="1:12" x14ac:dyDescent="0.2">
      <c r="A443" s="16"/>
      <c r="B443" s="17"/>
      <c r="C443" s="18"/>
      <c r="D443" s="18"/>
      <c r="E443" s="19"/>
      <c r="F443" s="19"/>
      <c r="G443" s="19"/>
      <c r="H443" s="19"/>
      <c r="I443" s="19"/>
      <c r="J443" s="19"/>
      <c r="K443" s="19"/>
      <c r="L443" s="20"/>
    </row>
    <row r="444" spans="1:12" x14ac:dyDescent="0.2">
      <c r="A444" s="16"/>
      <c r="B444" s="17"/>
      <c r="C444" s="18"/>
      <c r="D444" s="18"/>
      <c r="E444" s="19"/>
      <c r="F444" s="19"/>
      <c r="G444" s="19"/>
      <c r="H444" s="19"/>
      <c r="I444" s="19"/>
      <c r="J444" s="19"/>
      <c r="K444" s="19"/>
      <c r="L444" s="20"/>
    </row>
    <row r="445" spans="1:12" x14ac:dyDescent="0.2">
      <c r="A445" s="16"/>
      <c r="B445" s="17"/>
      <c r="C445" s="18"/>
      <c r="D445" s="18"/>
      <c r="E445" s="19"/>
      <c r="F445" s="19"/>
      <c r="G445" s="19"/>
      <c r="H445" s="19"/>
      <c r="I445" s="19"/>
      <c r="J445" s="19"/>
      <c r="K445" s="19"/>
      <c r="L445" s="20"/>
    </row>
    <row r="446" spans="1:12" x14ac:dyDescent="0.2">
      <c r="A446" s="16"/>
      <c r="B446" s="17"/>
      <c r="C446" s="18"/>
      <c r="D446" s="18"/>
      <c r="E446" s="19"/>
      <c r="F446" s="19"/>
      <c r="G446" s="19"/>
      <c r="H446" s="19"/>
      <c r="I446" s="19"/>
      <c r="J446" s="19"/>
      <c r="K446" s="19"/>
      <c r="L446" s="20"/>
    </row>
    <row r="447" spans="1:12" x14ac:dyDescent="0.2">
      <c r="A447" s="16"/>
      <c r="B447" s="17"/>
      <c r="C447" s="18"/>
      <c r="D447" s="18"/>
      <c r="E447" s="19"/>
      <c r="F447" s="19"/>
      <c r="G447" s="19"/>
      <c r="H447" s="19"/>
      <c r="I447" s="19"/>
      <c r="J447" s="19"/>
      <c r="K447" s="19"/>
      <c r="L447" s="20"/>
    </row>
    <row r="448" spans="1:12" x14ac:dyDescent="0.2">
      <c r="A448" s="16"/>
      <c r="B448" s="17"/>
      <c r="C448" s="18"/>
      <c r="D448" s="18"/>
      <c r="E448" s="19"/>
      <c r="F448" s="19"/>
      <c r="G448" s="19"/>
      <c r="H448" s="19"/>
      <c r="I448" s="19"/>
      <c r="J448" s="19"/>
      <c r="K448" s="19"/>
      <c r="L448" s="20"/>
    </row>
    <row r="449" spans="1:12" x14ac:dyDescent="0.2">
      <c r="A449" s="16"/>
      <c r="B449" s="17"/>
      <c r="C449" s="18"/>
      <c r="D449" s="18"/>
      <c r="E449" s="19"/>
      <c r="F449" s="19"/>
      <c r="G449" s="19"/>
      <c r="H449" s="19"/>
      <c r="I449" s="19"/>
      <c r="J449" s="19"/>
      <c r="K449" s="19"/>
      <c r="L449" s="20"/>
    </row>
    <row r="450" spans="1:12" x14ac:dyDescent="0.2">
      <c r="A450" s="16"/>
      <c r="B450" s="17"/>
      <c r="C450" s="18"/>
      <c r="D450" s="18"/>
      <c r="E450" s="19"/>
      <c r="F450" s="19"/>
      <c r="G450" s="19"/>
      <c r="H450" s="19"/>
      <c r="I450" s="19"/>
      <c r="J450" s="19"/>
      <c r="K450" s="19"/>
      <c r="L450" s="20"/>
    </row>
    <row r="451" spans="1:12" x14ac:dyDescent="0.2">
      <c r="A451" s="16"/>
      <c r="B451" s="17"/>
      <c r="C451" s="18"/>
      <c r="D451" s="18"/>
      <c r="E451" s="19"/>
      <c r="F451" s="19"/>
      <c r="G451" s="19"/>
      <c r="H451" s="19"/>
      <c r="I451" s="19"/>
      <c r="J451" s="19"/>
      <c r="K451" s="19"/>
      <c r="L451" s="20"/>
    </row>
    <row r="452" spans="1:12" x14ac:dyDescent="0.2">
      <c r="A452" s="16"/>
      <c r="B452" s="17"/>
      <c r="C452" s="18"/>
      <c r="D452" s="18"/>
      <c r="E452" s="19"/>
      <c r="F452" s="19"/>
      <c r="G452" s="19"/>
      <c r="H452" s="19"/>
      <c r="I452" s="19"/>
      <c r="J452" s="19"/>
      <c r="K452" s="19"/>
      <c r="L452" s="20"/>
    </row>
    <row r="453" spans="1:12" x14ac:dyDescent="0.2">
      <c r="A453" s="16"/>
      <c r="B453" s="17"/>
      <c r="C453" s="18"/>
      <c r="D453" s="18"/>
      <c r="E453" s="19"/>
      <c r="F453" s="19"/>
      <c r="G453" s="19"/>
      <c r="H453" s="19"/>
      <c r="I453" s="19"/>
      <c r="J453" s="19"/>
      <c r="K453" s="19"/>
      <c r="L453" s="20"/>
    </row>
    <row r="454" spans="1:12" x14ac:dyDescent="0.2">
      <c r="A454" s="16"/>
      <c r="B454" s="17"/>
      <c r="C454" s="18"/>
      <c r="D454" s="18"/>
      <c r="E454" s="19"/>
      <c r="F454" s="19"/>
      <c r="G454" s="19"/>
      <c r="H454" s="19"/>
      <c r="I454" s="19"/>
      <c r="J454" s="19"/>
      <c r="K454" s="19"/>
      <c r="L454" s="20"/>
    </row>
    <row r="455" spans="1:12" x14ac:dyDescent="0.2">
      <c r="A455" s="16"/>
      <c r="B455" s="17"/>
      <c r="C455" s="18"/>
      <c r="D455" s="18"/>
      <c r="E455" s="19"/>
      <c r="F455" s="19"/>
      <c r="G455" s="19"/>
      <c r="H455" s="19"/>
      <c r="I455" s="19"/>
      <c r="J455" s="19"/>
      <c r="K455" s="19"/>
      <c r="L455" s="20"/>
    </row>
    <row r="456" spans="1:12" x14ac:dyDescent="0.2">
      <c r="A456" s="16"/>
      <c r="B456" s="17"/>
      <c r="C456" s="18"/>
      <c r="D456" s="18"/>
      <c r="E456" s="19"/>
      <c r="F456" s="19"/>
      <c r="G456" s="19"/>
      <c r="H456" s="19"/>
      <c r="I456" s="19"/>
      <c r="J456" s="19"/>
      <c r="K456" s="19"/>
      <c r="L456" s="20"/>
    </row>
    <row r="457" spans="1:12" x14ac:dyDescent="0.2">
      <c r="A457" s="16"/>
      <c r="B457" s="17"/>
      <c r="C457" s="18"/>
      <c r="D457" s="18"/>
      <c r="E457" s="19"/>
      <c r="F457" s="19"/>
      <c r="G457" s="19"/>
      <c r="H457" s="19"/>
      <c r="I457" s="19"/>
      <c r="J457" s="19"/>
      <c r="K457" s="19"/>
      <c r="L457" s="20"/>
    </row>
    <row r="458" spans="1:12" x14ac:dyDescent="0.2">
      <c r="A458" s="16"/>
      <c r="B458" s="17"/>
      <c r="C458" s="18"/>
      <c r="D458" s="18"/>
      <c r="E458" s="19"/>
      <c r="F458" s="19"/>
      <c r="G458" s="19"/>
      <c r="H458" s="19"/>
      <c r="I458" s="19"/>
      <c r="J458" s="19"/>
      <c r="K458" s="19"/>
      <c r="L458" s="20"/>
    </row>
    <row r="459" spans="1:12" x14ac:dyDescent="0.2">
      <c r="A459" s="16"/>
      <c r="B459" s="17"/>
      <c r="C459" s="18"/>
      <c r="D459" s="18"/>
      <c r="E459" s="19"/>
      <c r="F459" s="19"/>
      <c r="G459" s="19"/>
      <c r="H459" s="19"/>
      <c r="I459" s="19"/>
      <c r="J459" s="19"/>
      <c r="K459" s="19"/>
      <c r="L459" s="20"/>
    </row>
    <row r="460" spans="1:12" x14ac:dyDescent="0.2">
      <c r="A460" s="16"/>
      <c r="B460" s="17"/>
      <c r="C460" s="18"/>
      <c r="D460" s="18"/>
      <c r="E460" s="19"/>
      <c r="F460" s="19"/>
      <c r="G460" s="19"/>
      <c r="H460" s="19"/>
      <c r="I460" s="19"/>
      <c r="J460" s="19"/>
      <c r="K460" s="19"/>
      <c r="L460" s="20"/>
    </row>
    <row r="461" spans="1:12" x14ac:dyDescent="0.2">
      <c r="A461" s="16"/>
      <c r="B461" s="17"/>
      <c r="C461" s="18"/>
      <c r="D461" s="18"/>
      <c r="E461" s="19"/>
      <c r="F461" s="19"/>
      <c r="G461" s="19"/>
      <c r="H461" s="19"/>
      <c r="I461" s="19"/>
      <c r="J461" s="19"/>
      <c r="K461" s="19"/>
      <c r="L461" s="20"/>
    </row>
    <row r="462" spans="1:12" x14ac:dyDescent="0.2">
      <c r="A462" s="16"/>
      <c r="B462" s="17"/>
      <c r="C462" s="18"/>
      <c r="D462" s="18"/>
      <c r="E462" s="19"/>
      <c r="F462" s="19"/>
      <c r="G462" s="19"/>
      <c r="H462" s="19"/>
      <c r="I462" s="19"/>
      <c r="J462" s="19"/>
      <c r="K462" s="19"/>
      <c r="L462" s="20"/>
    </row>
    <row r="463" spans="1:12" x14ac:dyDescent="0.2">
      <c r="A463" s="16"/>
      <c r="B463" s="17"/>
      <c r="C463" s="18"/>
      <c r="D463" s="18"/>
      <c r="E463" s="19"/>
      <c r="F463" s="19"/>
      <c r="G463" s="19"/>
      <c r="H463" s="19"/>
      <c r="I463" s="19"/>
      <c r="J463" s="19"/>
      <c r="K463" s="19"/>
      <c r="L463" s="20"/>
    </row>
    <row r="464" spans="1:12" x14ac:dyDescent="0.2">
      <c r="A464" s="16"/>
      <c r="B464" s="17"/>
      <c r="C464" s="18"/>
      <c r="D464" s="18"/>
      <c r="E464" s="19"/>
      <c r="F464" s="19"/>
      <c r="G464" s="19"/>
      <c r="H464" s="19"/>
      <c r="I464" s="19"/>
      <c r="J464" s="19"/>
      <c r="K464" s="19"/>
      <c r="L464" s="20"/>
    </row>
    <row r="465" spans="1:12" x14ac:dyDescent="0.2">
      <c r="A465" s="16"/>
      <c r="B465" s="17"/>
      <c r="C465" s="18"/>
      <c r="D465" s="18"/>
      <c r="E465" s="19"/>
      <c r="F465" s="19"/>
      <c r="G465" s="19"/>
      <c r="H465" s="19"/>
      <c r="I465" s="19"/>
      <c r="J465" s="19"/>
      <c r="K465" s="19"/>
      <c r="L465" s="20"/>
    </row>
    <row r="466" spans="1:12" x14ac:dyDescent="0.2">
      <c r="A466" s="16"/>
      <c r="B466" s="17"/>
      <c r="C466" s="18"/>
      <c r="D466" s="18"/>
      <c r="E466" s="19"/>
      <c r="F466" s="19"/>
      <c r="G466" s="19"/>
      <c r="H466" s="19"/>
      <c r="I466" s="19"/>
      <c r="J466" s="19"/>
      <c r="K466" s="19"/>
      <c r="L466" s="20"/>
    </row>
    <row r="467" spans="1:12" x14ac:dyDescent="0.2">
      <c r="A467" s="16"/>
      <c r="B467" s="17"/>
      <c r="C467" s="18"/>
      <c r="D467" s="18"/>
      <c r="E467" s="19"/>
      <c r="F467" s="19"/>
      <c r="G467" s="19"/>
      <c r="H467" s="19"/>
      <c r="I467" s="19"/>
      <c r="J467" s="19"/>
      <c r="K467" s="19"/>
      <c r="L467" s="20"/>
    </row>
    <row r="468" spans="1:12" x14ac:dyDescent="0.2">
      <c r="A468" s="16"/>
      <c r="B468" s="17"/>
      <c r="C468" s="18"/>
      <c r="D468" s="18"/>
      <c r="E468" s="19"/>
      <c r="F468" s="19"/>
      <c r="G468" s="19"/>
      <c r="H468" s="19"/>
      <c r="I468" s="19"/>
      <c r="J468" s="19"/>
      <c r="K468" s="19"/>
      <c r="L468" s="20"/>
    </row>
    <row r="469" spans="1:12" x14ac:dyDescent="0.2">
      <c r="A469" s="16"/>
      <c r="B469" s="17"/>
      <c r="C469" s="18"/>
      <c r="D469" s="18"/>
      <c r="E469" s="19"/>
      <c r="F469" s="19"/>
      <c r="G469" s="19"/>
      <c r="H469" s="19"/>
      <c r="I469" s="19"/>
      <c r="J469" s="19"/>
      <c r="K469" s="19"/>
      <c r="L469" s="20"/>
    </row>
    <row r="470" spans="1:12" x14ac:dyDescent="0.2">
      <c r="A470" s="16"/>
      <c r="B470" s="17"/>
      <c r="C470" s="18"/>
      <c r="D470" s="18"/>
      <c r="E470" s="19"/>
      <c r="F470" s="19"/>
      <c r="G470" s="19"/>
      <c r="H470" s="19"/>
      <c r="I470" s="19"/>
      <c r="J470" s="19"/>
      <c r="K470" s="19"/>
      <c r="L470" s="20"/>
    </row>
    <row r="471" spans="1:12" x14ac:dyDescent="0.2">
      <c r="A471" s="16"/>
      <c r="B471" s="17"/>
      <c r="C471" s="18"/>
      <c r="D471" s="18"/>
      <c r="E471" s="19"/>
      <c r="F471" s="19"/>
      <c r="G471" s="19"/>
      <c r="H471" s="19"/>
      <c r="I471" s="19"/>
      <c r="J471" s="19"/>
      <c r="K471" s="19"/>
      <c r="L471" s="20"/>
    </row>
    <row r="472" spans="1:12" x14ac:dyDescent="0.2">
      <c r="A472" s="16"/>
      <c r="B472" s="17"/>
      <c r="C472" s="18"/>
      <c r="D472" s="18"/>
      <c r="E472" s="19"/>
      <c r="F472" s="19"/>
      <c r="G472" s="19"/>
      <c r="H472" s="19"/>
      <c r="I472" s="19"/>
      <c r="J472" s="19"/>
      <c r="K472" s="19"/>
      <c r="L472" s="20"/>
    </row>
    <row r="473" spans="1:12" x14ac:dyDescent="0.2">
      <c r="A473" s="16"/>
      <c r="B473" s="17"/>
      <c r="C473" s="18"/>
      <c r="D473" s="18"/>
      <c r="E473" s="19"/>
      <c r="F473" s="19"/>
      <c r="G473" s="19"/>
      <c r="H473" s="19"/>
      <c r="I473" s="19"/>
      <c r="J473" s="19"/>
      <c r="K473" s="19"/>
      <c r="L473" s="20"/>
    </row>
    <row r="474" spans="1:12" x14ac:dyDescent="0.2">
      <c r="A474" s="16"/>
      <c r="B474" s="17"/>
      <c r="C474" s="18"/>
      <c r="D474" s="18"/>
      <c r="E474" s="19"/>
      <c r="F474" s="19"/>
      <c r="G474" s="19"/>
      <c r="H474" s="19"/>
      <c r="I474" s="19"/>
      <c r="J474" s="19"/>
      <c r="K474" s="19"/>
      <c r="L474" s="20"/>
    </row>
    <row r="475" spans="1:12" x14ac:dyDescent="0.2">
      <c r="A475" s="16"/>
      <c r="B475" s="17"/>
      <c r="C475" s="18"/>
      <c r="D475" s="18"/>
      <c r="E475" s="19"/>
      <c r="F475" s="19"/>
      <c r="G475" s="19"/>
      <c r="H475" s="19"/>
      <c r="I475" s="19"/>
      <c r="J475" s="19"/>
      <c r="K475" s="19"/>
      <c r="L475" s="20"/>
    </row>
    <row r="476" spans="1:12" x14ac:dyDescent="0.2">
      <c r="A476" s="16"/>
      <c r="B476" s="17"/>
      <c r="C476" s="18"/>
      <c r="D476" s="18"/>
      <c r="E476" s="19"/>
      <c r="F476" s="19"/>
      <c r="G476" s="19"/>
      <c r="H476" s="19"/>
      <c r="I476" s="19"/>
      <c r="J476" s="19"/>
      <c r="K476" s="19"/>
      <c r="L476" s="20"/>
    </row>
    <row r="477" spans="1:12" x14ac:dyDescent="0.2">
      <c r="A477" s="16"/>
      <c r="B477" s="17"/>
      <c r="C477" s="18"/>
      <c r="D477" s="18"/>
      <c r="E477" s="19"/>
      <c r="F477" s="19"/>
      <c r="G477" s="19"/>
      <c r="H477" s="19"/>
      <c r="I477" s="19"/>
      <c r="J477" s="19"/>
      <c r="K477" s="19"/>
      <c r="L477" s="20"/>
    </row>
    <row r="478" spans="1:12" x14ac:dyDescent="0.2">
      <c r="A478" s="16"/>
      <c r="B478" s="17"/>
      <c r="C478" s="18"/>
      <c r="D478" s="18"/>
      <c r="E478" s="19"/>
      <c r="F478" s="19"/>
      <c r="G478" s="19"/>
      <c r="H478" s="19"/>
      <c r="I478" s="19"/>
      <c r="J478" s="19"/>
      <c r="K478" s="19"/>
      <c r="L478" s="20"/>
    </row>
    <row r="479" spans="1:12" x14ac:dyDescent="0.2">
      <c r="A479" s="16"/>
      <c r="B479" s="17"/>
      <c r="C479" s="18"/>
      <c r="D479" s="18"/>
      <c r="E479" s="19"/>
      <c r="F479" s="19"/>
      <c r="G479" s="19"/>
      <c r="H479" s="19"/>
      <c r="I479" s="19"/>
      <c r="J479" s="19"/>
      <c r="K479" s="19"/>
      <c r="L479" s="20"/>
    </row>
    <row r="480" spans="1:12" x14ac:dyDescent="0.2">
      <c r="A480" s="16"/>
      <c r="B480" s="17"/>
      <c r="C480" s="18"/>
      <c r="D480" s="18"/>
      <c r="E480" s="19"/>
      <c r="F480" s="19"/>
      <c r="G480" s="19"/>
      <c r="H480" s="19"/>
      <c r="I480" s="19"/>
      <c r="J480" s="19"/>
      <c r="K480" s="19"/>
      <c r="L480" s="20"/>
    </row>
    <row r="481" spans="1:12" x14ac:dyDescent="0.2">
      <c r="A481" s="16"/>
      <c r="B481" s="17"/>
      <c r="C481" s="18"/>
      <c r="D481" s="18"/>
      <c r="E481" s="19"/>
      <c r="F481" s="19"/>
      <c r="G481" s="19"/>
      <c r="H481" s="19"/>
      <c r="I481" s="19"/>
      <c r="J481" s="19"/>
      <c r="K481" s="19"/>
      <c r="L481" s="20"/>
    </row>
    <row r="482" spans="1:12" x14ac:dyDescent="0.2">
      <c r="A482" s="16"/>
      <c r="B482" s="17"/>
      <c r="C482" s="18"/>
      <c r="D482" s="18"/>
      <c r="E482" s="19"/>
      <c r="F482" s="19"/>
      <c r="G482" s="19"/>
      <c r="H482" s="19"/>
      <c r="I482" s="19"/>
      <c r="J482" s="19"/>
      <c r="K482" s="19"/>
      <c r="L482" s="20"/>
    </row>
    <row r="483" spans="1:12" x14ac:dyDescent="0.2">
      <c r="A483" s="16"/>
      <c r="B483" s="17"/>
      <c r="C483" s="18"/>
      <c r="D483" s="18"/>
      <c r="E483" s="19"/>
      <c r="F483" s="19"/>
      <c r="G483" s="19"/>
      <c r="H483" s="19"/>
      <c r="I483" s="19"/>
      <c r="J483" s="19"/>
      <c r="K483" s="19"/>
      <c r="L483" s="20"/>
    </row>
    <row r="484" spans="1:12" x14ac:dyDescent="0.2">
      <c r="A484" s="16"/>
      <c r="B484" s="17"/>
      <c r="C484" s="18"/>
      <c r="D484" s="18"/>
      <c r="E484" s="19"/>
      <c r="F484" s="19"/>
      <c r="G484" s="19"/>
      <c r="H484" s="19"/>
      <c r="I484" s="19"/>
      <c r="J484" s="19"/>
      <c r="K484" s="19"/>
      <c r="L484" s="20"/>
    </row>
    <row r="485" spans="1:12" x14ac:dyDescent="0.2">
      <c r="A485" s="16"/>
      <c r="B485" s="17"/>
      <c r="C485" s="18"/>
      <c r="D485" s="18"/>
      <c r="E485" s="19"/>
      <c r="F485" s="19"/>
      <c r="G485" s="19"/>
      <c r="H485" s="19"/>
      <c r="I485" s="19"/>
      <c r="J485" s="19"/>
      <c r="K485" s="19"/>
      <c r="L485" s="20"/>
    </row>
    <row r="486" spans="1:12" x14ac:dyDescent="0.2">
      <c r="A486" s="16"/>
      <c r="B486" s="17"/>
      <c r="C486" s="18"/>
      <c r="D486" s="18"/>
      <c r="E486" s="19"/>
      <c r="F486" s="19"/>
      <c r="G486" s="19"/>
      <c r="H486" s="19"/>
      <c r="I486" s="19"/>
      <c r="J486" s="19"/>
      <c r="K486" s="19"/>
      <c r="L486" s="20"/>
    </row>
    <row r="487" spans="1:12" x14ac:dyDescent="0.2">
      <c r="A487" s="16"/>
      <c r="B487" s="17"/>
      <c r="C487" s="18"/>
      <c r="D487" s="18"/>
      <c r="E487" s="19"/>
      <c r="F487" s="19"/>
      <c r="G487" s="19"/>
      <c r="H487" s="19"/>
      <c r="I487" s="19"/>
      <c r="J487" s="19"/>
      <c r="K487" s="19"/>
      <c r="L487" s="20"/>
    </row>
    <row r="488" spans="1:12" x14ac:dyDescent="0.2">
      <c r="A488" s="16"/>
      <c r="B488" s="17"/>
      <c r="C488" s="18"/>
      <c r="D488" s="18"/>
      <c r="E488" s="19"/>
      <c r="F488" s="19"/>
      <c r="G488" s="19"/>
      <c r="H488" s="19"/>
      <c r="I488" s="19"/>
      <c r="J488" s="19"/>
      <c r="K488" s="19"/>
      <c r="L488" s="20"/>
    </row>
    <row r="489" spans="1:12" x14ac:dyDescent="0.2">
      <c r="A489" s="16"/>
      <c r="B489" s="17"/>
      <c r="C489" s="18"/>
      <c r="D489" s="18"/>
      <c r="E489" s="19"/>
      <c r="F489" s="19"/>
      <c r="G489" s="19"/>
      <c r="H489" s="19"/>
      <c r="I489" s="19"/>
      <c r="J489" s="19"/>
      <c r="K489" s="19"/>
      <c r="L489" s="20"/>
    </row>
    <row r="490" spans="1:12" x14ac:dyDescent="0.2">
      <c r="A490" s="16"/>
      <c r="B490" s="17"/>
      <c r="C490" s="18"/>
      <c r="D490" s="18"/>
      <c r="E490" s="19"/>
      <c r="F490" s="19"/>
      <c r="G490" s="19"/>
      <c r="H490" s="19"/>
      <c r="I490" s="19"/>
      <c r="J490" s="19"/>
      <c r="K490" s="19"/>
      <c r="L490" s="20"/>
    </row>
    <row r="491" spans="1:12" x14ac:dyDescent="0.2">
      <c r="A491" s="16"/>
      <c r="B491" s="17"/>
      <c r="C491" s="18"/>
      <c r="D491" s="18"/>
      <c r="E491" s="19"/>
      <c r="F491" s="19"/>
      <c r="G491" s="19"/>
      <c r="H491" s="19"/>
      <c r="I491" s="19"/>
      <c r="J491" s="19"/>
      <c r="K491" s="19"/>
      <c r="L491" s="20"/>
    </row>
    <row r="492" spans="1:12" x14ac:dyDescent="0.2">
      <c r="A492" s="16"/>
      <c r="B492" s="17"/>
      <c r="C492" s="18"/>
      <c r="D492" s="18"/>
      <c r="E492" s="19"/>
      <c r="F492" s="19"/>
      <c r="G492" s="19"/>
      <c r="H492" s="19"/>
      <c r="I492" s="19"/>
      <c r="J492" s="19"/>
      <c r="K492" s="19"/>
      <c r="L492" s="20"/>
    </row>
    <row r="493" spans="1:12" x14ac:dyDescent="0.2">
      <c r="A493" s="16"/>
      <c r="B493" s="17"/>
      <c r="C493" s="18"/>
      <c r="D493" s="18"/>
      <c r="E493" s="19"/>
      <c r="F493" s="19"/>
      <c r="G493" s="19"/>
      <c r="H493" s="19"/>
      <c r="I493" s="19"/>
      <c r="J493" s="19"/>
      <c r="K493" s="19"/>
      <c r="L493" s="20"/>
    </row>
    <row r="494" spans="1:12" x14ac:dyDescent="0.2">
      <c r="A494" s="16"/>
      <c r="B494" s="17"/>
      <c r="C494" s="18"/>
      <c r="D494" s="18"/>
      <c r="E494" s="19"/>
      <c r="F494" s="19"/>
      <c r="G494" s="19"/>
      <c r="H494" s="19"/>
      <c r="I494" s="19"/>
      <c r="J494" s="19"/>
      <c r="K494" s="19"/>
      <c r="L494" s="20"/>
    </row>
    <row r="495" spans="1:12" x14ac:dyDescent="0.2">
      <c r="A495" s="16"/>
      <c r="B495" s="17"/>
      <c r="C495" s="18"/>
      <c r="D495" s="18"/>
      <c r="E495" s="19"/>
      <c r="F495" s="19"/>
      <c r="G495" s="19"/>
      <c r="H495" s="19"/>
      <c r="I495" s="19"/>
      <c r="J495" s="19"/>
      <c r="K495" s="19"/>
      <c r="L495" s="20"/>
    </row>
    <row r="496" spans="1:12" x14ac:dyDescent="0.2">
      <c r="A496" s="20"/>
      <c r="B496" s="20"/>
      <c r="C496" s="20"/>
      <c r="D496" s="20"/>
      <c r="E496" s="21"/>
      <c r="F496" s="21"/>
      <c r="G496" s="21"/>
      <c r="H496" s="21"/>
      <c r="I496" s="21"/>
      <c r="J496" s="21"/>
      <c r="K496" s="21"/>
      <c r="L496" s="20"/>
    </row>
  </sheetData>
  <mergeCells count="38">
    <mergeCell ref="G2:K2"/>
    <mergeCell ref="A3:K3"/>
    <mergeCell ref="B4:I4"/>
    <mergeCell ref="A5:A6"/>
    <mergeCell ref="B5:B6"/>
    <mergeCell ref="C5:C6"/>
    <mergeCell ref="D5:D6"/>
    <mergeCell ref="E5:E6"/>
    <mergeCell ref="F5:F6"/>
    <mergeCell ref="I399:K399"/>
    <mergeCell ref="A383:K383"/>
    <mergeCell ref="G5:G6"/>
    <mergeCell ref="H5:H6"/>
    <mergeCell ref="I5:K5"/>
    <mergeCell ref="A16:K16"/>
    <mergeCell ref="A17:K17"/>
    <mergeCell ref="A72:K72"/>
    <mergeCell ref="A108:K108"/>
    <mergeCell ref="A174:K174"/>
    <mergeCell ref="A175:K175"/>
    <mergeCell ref="A283:B283"/>
    <mergeCell ref="A333:B333"/>
    <mergeCell ref="G1:K1"/>
    <mergeCell ref="A403:F403"/>
    <mergeCell ref="I403:K403"/>
    <mergeCell ref="A404:F404"/>
    <mergeCell ref="I404:K404"/>
    <mergeCell ref="A400:F400"/>
    <mergeCell ref="I400:K400"/>
    <mergeCell ref="A401:F401"/>
    <mergeCell ref="I401:K401"/>
    <mergeCell ref="A402:F402"/>
    <mergeCell ref="I402:K402"/>
    <mergeCell ref="A384:K384"/>
    <mergeCell ref="A390:B390"/>
    <mergeCell ref="A394:B394"/>
    <mergeCell ref="B398:K398"/>
    <mergeCell ref="A399:F399"/>
  </mergeCells>
  <pageMargins left="0.51181102362204722" right="0.39370078740157483" top="1.5748031496062993" bottom="0.39370078740157483" header="0.51181102362204722" footer="0.51181102362204722"/>
  <pageSetup paperSize="9" scale="83" firstPageNumber="3" fitToHeight="0" orientation="landscape" useFirstPageNumber="1" r:id="rId1"/>
  <headerFooter alignWithMargins="0">
    <oddHeader>&amp;C
&amp;P</oddHeader>
  </headerFooter>
  <rowBreaks count="18" manualBreakCount="18">
    <brk id="15" max="10" man="1"/>
    <brk id="34" max="10" man="1"/>
    <brk id="87" max="10" man="1"/>
    <brk id="157" max="10" man="1"/>
    <brk id="170" max="10" man="1"/>
    <brk id="191" max="10" man="1"/>
    <brk id="198" max="10" man="1"/>
    <brk id="240" max="10" man="1"/>
    <brk id="250" max="10" man="1"/>
    <brk id="260" max="10" man="1"/>
    <brk id="269" max="10" man="1"/>
    <brk id="279" max="10" man="1"/>
    <brk id="306" max="10" man="1"/>
    <brk id="334" max="10" man="1"/>
    <brk id="348" max="10" man="1"/>
    <brk id="361" max="10" man="1"/>
    <brk id="374" max="10" man="1"/>
    <brk id="393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view="pageBreakPreview" zoomScaleNormal="100" zoomScaleSheetLayoutView="100" workbookViewId="0">
      <selection activeCell="L25" sqref="L25"/>
    </sheetView>
  </sheetViews>
  <sheetFormatPr defaultRowHeight="12.75" x14ac:dyDescent="0.2"/>
  <cols>
    <col min="1" max="1" width="26.7109375" customWidth="1"/>
    <col min="2" max="2" width="15.140625" customWidth="1"/>
    <col min="3" max="3" width="17.28515625" customWidth="1"/>
    <col min="4" max="4" width="17.140625" customWidth="1"/>
    <col min="5" max="5" width="16.42578125" style="20" customWidth="1"/>
    <col min="6" max="6" width="16.5703125" customWidth="1"/>
    <col min="7" max="7" width="17.28515625" customWidth="1"/>
    <col min="8" max="8" width="16.7109375" customWidth="1"/>
    <col min="9" max="10" width="15.42578125" bestFit="1" customWidth="1"/>
    <col min="11" max="11" width="16.28515625" customWidth="1"/>
  </cols>
  <sheetData>
    <row r="1" spans="1:10" ht="23.25" customHeight="1" thickBot="1" x14ac:dyDescent="0.25">
      <c r="A1" s="372"/>
      <c r="B1" s="433" t="s">
        <v>363</v>
      </c>
      <c r="C1" s="433"/>
      <c r="D1" s="372"/>
      <c r="E1" s="372"/>
      <c r="F1" s="1"/>
    </row>
    <row r="2" spans="1:10" ht="24.75" customHeight="1" thickBot="1" x14ac:dyDescent="0.25">
      <c r="A2" s="428" t="s">
        <v>53</v>
      </c>
      <c r="B2" s="420" t="s">
        <v>54</v>
      </c>
      <c r="C2" s="420" t="s">
        <v>365</v>
      </c>
      <c r="D2" s="420"/>
      <c r="E2" s="420"/>
      <c r="F2" s="431" t="s">
        <v>71</v>
      </c>
      <c r="G2" s="2"/>
      <c r="H2" s="2"/>
    </row>
    <row r="3" spans="1:10" ht="57.75" customHeight="1" thickBot="1" x14ac:dyDescent="0.25">
      <c r="A3" s="429"/>
      <c r="B3" s="420"/>
      <c r="C3" s="370" t="s">
        <v>360</v>
      </c>
      <c r="D3" s="370" t="s">
        <v>361</v>
      </c>
      <c r="E3" s="370" t="s">
        <v>362</v>
      </c>
      <c r="F3" s="432"/>
      <c r="G3" s="94"/>
      <c r="H3" s="55"/>
    </row>
    <row r="4" spans="1:10" ht="26.25" customHeight="1" thickBot="1" x14ac:dyDescent="0.25">
      <c r="A4" s="414" t="s">
        <v>38</v>
      </c>
      <c r="B4" s="434"/>
      <c r="C4" s="434"/>
      <c r="D4" s="434"/>
      <c r="E4" s="434"/>
      <c r="F4" s="415"/>
    </row>
    <row r="5" spans="1:10" ht="28.5" customHeight="1" thickBot="1" x14ac:dyDescent="0.25">
      <c r="A5" s="424" t="s">
        <v>42</v>
      </c>
      <c r="B5" s="430"/>
      <c r="C5" s="430"/>
      <c r="D5" s="430"/>
      <c r="E5" s="430"/>
      <c r="F5" s="425"/>
    </row>
    <row r="6" spans="1:10" ht="42" customHeight="1" x14ac:dyDescent="0.2">
      <c r="A6" s="373" t="s">
        <v>290</v>
      </c>
      <c r="B6" s="374" t="s">
        <v>43</v>
      </c>
      <c r="C6" s="292">
        <f>SUM(C7:C8)</f>
        <v>79494.240000000005</v>
      </c>
      <c r="D6" s="292">
        <f>SUM(D7)</f>
        <v>0</v>
      </c>
      <c r="E6" s="292">
        <f>SUM(E7:E8)</f>
        <v>1589884.85</v>
      </c>
      <c r="F6" s="375"/>
      <c r="G6" s="42"/>
      <c r="H6" s="42"/>
      <c r="I6" s="42"/>
      <c r="J6" s="42"/>
    </row>
    <row r="7" spans="1:10" ht="30" customHeight="1" x14ac:dyDescent="0.2">
      <c r="A7" s="141" t="s">
        <v>292</v>
      </c>
      <c r="B7" s="147" t="s">
        <v>353</v>
      </c>
      <c r="C7" s="8">
        <v>79494.240000000005</v>
      </c>
      <c r="D7" s="8">
        <v>0</v>
      </c>
      <c r="E7" s="8">
        <f t="shared" ref="E7" si="0">C7+D7</f>
        <v>79494.240000000005</v>
      </c>
      <c r="F7" s="376"/>
      <c r="G7" s="42"/>
      <c r="H7" s="42"/>
      <c r="I7" s="42"/>
      <c r="J7" s="42"/>
    </row>
    <row r="8" spans="1:10" ht="30" customHeight="1" thickBot="1" x14ac:dyDescent="0.25">
      <c r="A8" s="142" t="s">
        <v>351</v>
      </c>
      <c r="B8" s="206" t="s">
        <v>352</v>
      </c>
      <c r="C8" s="283">
        <v>0</v>
      </c>
      <c r="D8" s="283">
        <v>1510390.61</v>
      </c>
      <c r="E8" s="283">
        <f>C8+D8</f>
        <v>1510390.61</v>
      </c>
      <c r="F8" s="377"/>
      <c r="G8" s="42"/>
      <c r="H8" s="42"/>
      <c r="I8" s="42"/>
      <c r="J8" s="42"/>
    </row>
    <row r="9" spans="1:10" ht="83.25" customHeight="1" x14ac:dyDescent="0.2">
      <c r="A9" s="109" t="s">
        <v>92</v>
      </c>
      <c r="B9" s="79" t="s">
        <v>43</v>
      </c>
      <c r="C9" s="179">
        <f>SUM(C10:C12)</f>
        <v>10255155.629999999</v>
      </c>
      <c r="D9" s="179">
        <f>SUM(D10:D12)</f>
        <v>-95.24</v>
      </c>
      <c r="E9" s="179">
        <f>SUM(E10:E12)</f>
        <v>10255060.389999999</v>
      </c>
      <c r="F9" s="378"/>
      <c r="H9" s="43"/>
    </row>
    <row r="10" spans="1:10" ht="38.25" x14ac:dyDescent="0.2">
      <c r="A10" s="9" t="s">
        <v>24</v>
      </c>
      <c r="B10" s="147" t="s">
        <v>216</v>
      </c>
      <c r="C10" s="173">
        <v>102552.51</v>
      </c>
      <c r="D10" s="173">
        <v>0</v>
      </c>
      <c r="E10" s="8">
        <f t="shared" ref="E10:E11" si="1">C10+D10</f>
        <v>102552.51</v>
      </c>
      <c r="F10" s="379"/>
      <c r="H10" s="43"/>
    </row>
    <row r="11" spans="1:10" ht="38.25" x14ac:dyDescent="0.2">
      <c r="A11" s="141" t="s">
        <v>25</v>
      </c>
      <c r="B11" s="147" t="s">
        <v>211</v>
      </c>
      <c r="C11" s="173">
        <v>101698.36</v>
      </c>
      <c r="D11" s="173">
        <v>0</v>
      </c>
      <c r="E11" s="8">
        <f t="shared" si="1"/>
        <v>101698.36</v>
      </c>
      <c r="F11" s="379"/>
      <c r="H11" s="43"/>
    </row>
    <row r="12" spans="1:10" ht="39" thickBot="1" x14ac:dyDescent="0.25">
      <c r="A12" s="143" t="s">
        <v>210</v>
      </c>
      <c r="B12" s="206" t="s">
        <v>212</v>
      </c>
      <c r="C12" s="311">
        <f>10051000-95.24</f>
        <v>10050904.76</v>
      </c>
      <c r="D12" s="311">
        <v>-95.24</v>
      </c>
      <c r="E12" s="283">
        <f>C12+D12</f>
        <v>10050809.52</v>
      </c>
      <c r="F12" s="377"/>
      <c r="H12" s="43"/>
    </row>
    <row r="13" spans="1:10" ht="33" customHeight="1" x14ac:dyDescent="0.2">
      <c r="A13" s="109" t="s">
        <v>1</v>
      </c>
      <c r="B13" s="30" t="s">
        <v>43</v>
      </c>
      <c r="C13" s="29">
        <f>SUM(C14:C18)</f>
        <v>702551690.16999996</v>
      </c>
      <c r="D13" s="29">
        <f>SUM(D14:D18)</f>
        <v>35223345.630000003</v>
      </c>
      <c r="E13" s="29">
        <f>SUM(E14:E18)</f>
        <v>737775035.79999995</v>
      </c>
      <c r="F13" s="380"/>
      <c r="G13" s="43"/>
    </row>
    <row r="14" spans="1:10" ht="38.25" x14ac:dyDescent="0.2">
      <c r="A14" s="141" t="s">
        <v>59</v>
      </c>
      <c r="B14" s="147" t="s">
        <v>245</v>
      </c>
      <c r="C14" s="173">
        <f>5191180.72-34378.66</f>
        <v>5156802.0599999996</v>
      </c>
      <c r="D14" s="8"/>
      <c r="E14" s="8">
        <f t="shared" ref="E14:E16" si="2">C14+D14</f>
        <v>5156802.0599999996</v>
      </c>
      <c r="F14" s="381"/>
      <c r="G14" s="43"/>
      <c r="H14" s="43"/>
    </row>
    <row r="15" spans="1:10" ht="33.75" customHeight="1" x14ac:dyDescent="0.2">
      <c r="A15" s="141" t="s">
        <v>218</v>
      </c>
      <c r="B15" s="147" t="s">
        <v>116</v>
      </c>
      <c r="C15" s="173">
        <f>538598.99+34378.66+1292179.29+355790.36</f>
        <v>2220947.2999999998</v>
      </c>
      <c r="D15" s="8"/>
      <c r="E15" s="8">
        <f t="shared" si="2"/>
        <v>2220947.2999999998</v>
      </c>
      <c r="F15" s="381"/>
      <c r="G15" s="43"/>
      <c r="H15" s="43"/>
    </row>
    <row r="16" spans="1:10" ht="38.25" x14ac:dyDescent="0.2">
      <c r="A16" s="141" t="s">
        <v>119</v>
      </c>
      <c r="B16" s="147" t="s">
        <v>246</v>
      </c>
      <c r="C16" s="173">
        <f>34034891.49-3403487.23</f>
        <v>30631404.260000002</v>
      </c>
      <c r="D16" s="8"/>
      <c r="E16" s="8">
        <f t="shared" si="2"/>
        <v>30631404.260000002</v>
      </c>
      <c r="F16" s="381"/>
      <c r="G16" s="43"/>
      <c r="H16" s="43"/>
    </row>
    <row r="17" spans="1:8" ht="29.25" customHeight="1" x14ac:dyDescent="0.2">
      <c r="A17" s="141" t="s">
        <v>219</v>
      </c>
      <c r="B17" s="147" t="s">
        <v>115</v>
      </c>
      <c r="C17" s="173">
        <f>53321300+3403487.23+127925749.32</f>
        <v>184650536.54999998</v>
      </c>
      <c r="D17" s="8">
        <v>35223345.630000003</v>
      </c>
      <c r="E17" s="8">
        <f>C17+D17</f>
        <v>219873882.17999998</v>
      </c>
      <c r="F17" s="381"/>
      <c r="G17" s="43"/>
      <c r="H17" s="43"/>
    </row>
    <row r="18" spans="1:8" ht="39" thickBot="1" x14ac:dyDescent="0.25">
      <c r="A18" s="143" t="s">
        <v>220</v>
      </c>
      <c r="B18" s="206" t="s">
        <v>247</v>
      </c>
      <c r="C18" s="174">
        <v>479892000</v>
      </c>
      <c r="D18" s="152"/>
      <c r="E18" s="13">
        <f>C18+D18</f>
        <v>479892000</v>
      </c>
      <c r="F18" s="382"/>
      <c r="G18" s="144"/>
      <c r="H18" s="144"/>
    </row>
    <row r="19" spans="1:8" ht="54" customHeight="1" x14ac:dyDescent="0.2">
      <c r="A19" s="167" t="s">
        <v>132</v>
      </c>
      <c r="B19" s="172" t="s">
        <v>43</v>
      </c>
      <c r="C19" s="179">
        <f>SUM(C20:C23)</f>
        <v>768327272.73000002</v>
      </c>
      <c r="D19" s="179">
        <f>SUM(D20:D23)</f>
        <v>-199150505.05000001</v>
      </c>
      <c r="E19" s="179">
        <f>SUM(E20:E23)</f>
        <v>569176767.68000007</v>
      </c>
      <c r="F19" s="179">
        <f>SUM(F20:F23)</f>
        <v>866478819.28999996</v>
      </c>
      <c r="G19" s="144"/>
      <c r="H19" s="144"/>
    </row>
    <row r="20" spans="1:8" ht="29.25" customHeight="1" x14ac:dyDescent="0.2">
      <c r="A20" s="141" t="s">
        <v>178</v>
      </c>
      <c r="B20" s="147" t="s">
        <v>72</v>
      </c>
      <c r="C20" s="173">
        <v>1800575.76</v>
      </c>
      <c r="D20" s="173">
        <v>0</v>
      </c>
      <c r="E20" s="8">
        <f t="shared" ref="E20:E23" si="3">C20+D20</f>
        <v>1800575.76</v>
      </c>
      <c r="F20" s="173">
        <v>1622778.09</v>
      </c>
      <c r="G20" s="43"/>
      <c r="H20" s="144"/>
    </row>
    <row r="21" spans="1:8" ht="30.75" customHeight="1" x14ac:dyDescent="0.2">
      <c r="A21" s="141" t="s">
        <v>176</v>
      </c>
      <c r="B21" s="147" t="s">
        <v>213</v>
      </c>
      <c r="C21" s="173">
        <f>5882696.97</f>
        <v>5882696.9699999997</v>
      </c>
      <c r="D21" s="173">
        <v>-1991505.05</v>
      </c>
      <c r="E21" s="8">
        <f t="shared" si="3"/>
        <v>3891191.92</v>
      </c>
      <c r="F21" s="386">
        <f>5050505.05+1991505.05</f>
        <v>7042010.0999999996</v>
      </c>
      <c r="G21" s="43"/>
      <c r="H21" s="144"/>
    </row>
    <row r="22" spans="1:8" ht="30.75" customHeight="1" x14ac:dyDescent="0.2">
      <c r="A22" s="141" t="s">
        <v>175</v>
      </c>
      <c r="B22" s="147" t="s">
        <v>73</v>
      </c>
      <c r="C22" s="173">
        <v>178257000</v>
      </c>
      <c r="D22" s="173">
        <v>0</v>
      </c>
      <c r="E22" s="8">
        <f t="shared" si="3"/>
        <v>178257000</v>
      </c>
      <c r="F22" s="173">
        <v>160655031.09999999</v>
      </c>
      <c r="G22" s="144"/>
      <c r="H22" s="144"/>
    </row>
    <row r="23" spans="1:8" ht="30" customHeight="1" thickBot="1" x14ac:dyDescent="0.25">
      <c r="A23" s="204" t="s">
        <v>177</v>
      </c>
      <c r="B23" s="205" t="s">
        <v>356</v>
      </c>
      <c r="C23" s="195">
        <f>582387000</f>
        <v>582387000</v>
      </c>
      <c r="D23" s="195">
        <v>-197159000</v>
      </c>
      <c r="E23" s="8">
        <f t="shared" si="3"/>
        <v>385228000</v>
      </c>
      <c r="F23" s="387">
        <f>500000000+197159000</f>
        <v>697159000</v>
      </c>
      <c r="G23" s="43"/>
      <c r="H23" s="144"/>
    </row>
    <row r="24" spans="1:8" ht="69" customHeight="1" x14ac:dyDescent="0.2">
      <c r="A24" s="167" t="s">
        <v>104</v>
      </c>
      <c r="B24" s="30" t="s">
        <v>105</v>
      </c>
      <c r="C24" s="179">
        <f>SUM(C25:C26)</f>
        <v>287269122.21000004</v>
      </c>
      <c r="D24" s="179">
        <f>SUM(D25:D26)</f>
        <v>20295806.649999999</v>
      </c>
      <c r="E24" s="179">
        <f>SUM(E25:E26)</f>
        <v>307564928.86000001</v>
      </c>
      <c r="F24" s="380"/>
      <c r="G24" s="144"/>
      <c r="H24" s="144"/>
    </row>
    <row r="25" spans="1:8" ht="29.25" customHeight="1" x14ac:dyDescent="0.2">
      <c r="A25" s="141" t="s">
        <v>179</v>
      </c>
      <c r="B25" s="147" t="s">
        <v>118</v>
      </c>
      <c r="C25" s="173">
        <f>1491956.92+6893421.05+205008.82</f>
        <v>8590386.7899999991</v>
      </c>
      <c r="D25" s="173">
        <v>0</v>
      </c>
      <c r="E25" s="173">
        <f>D25+C25</f>
        <v>8590386.7899999991</v>
      </c>
      <c r="F25" s="383"/>
      <c r="G25" s="144"/>
    </row>
    <row r="26" spans="1:8" ht="28.5" customHeight="1" thickBot="1" x14ac:dyDescent="0.25">
      <c r="A26" s="141" t="s">
        <v>180</v>
      </c>
      <c r="B26" s="147" t="s">
        <v>117</v>
      </c>
      <c r="C26" s="173">
        <f>147703735.43+130974999.99</f>
        <v>278678735.42000002</v>
      </c>
      <c r="D26" s="173">
        <v>20295806.649999999</v>
      </c>
      <c r="E26" s="173">
        <f>D26+C26</f>
        <v>298974542.06999999</v>
      </c>
      <c r="F26" s="384"/>
      <c r="G26" s="144"/>
    </row>
    <row r="27" spans="1:8" ht="42" customHeight="1" x14ac:dyDescent="0.2">
      <c r="A27" s="167" t="s">
        <v>17</v>
      </c>
      <c r="B27" s="169" t="s">
        <v>43</v>
      </c>
      <c r="C27" s="179">
        <f>SUM(C28:C30)</f>
        <v>290152765.91999996</v>
      </c>
      <c r="D27" s="179">
        <f>SUM(D29:D30)</f>
        <v>7912637.29</v>
      </c>
      <c r="E27" s="179">
        <f>SUM(E29:E30)</f>
        <v>297915403.20999998</v>
      </c>
      <c r="F27" s="179">
        <f>SUM(F29:F30)</f>
        <v>121212121.20999999</v>
      </c>
      <c r="G27" s="43"/>
    </row>
    <row r="28" spans="1:8" ht="29.25" customHeight="1" x14ac:dyDescent="0.2">
      <c r="A28" s="141" t="s">
        <v>283</v>
      </c>
      <c r="B28" s="147" t="s">
        <v>278</v>
      </c>
      <c r="C28" s="337">
        <v>150000</v>
      </c>
      <c r="D28" s="337">
        <v>0</v>
      </c>
      <c r="E28" s="195">
        <f t="shared" ref="E28:E29" si="4">C28+D28</f>
        <v>150000</v>
      </c>
      <c r="F28" s="385"/>
      <c r="G28" s="43"/>
    </row>
    <row r="29" spans="1:8" ht="30.75" customHeight="1" x14ac:dyDescent="0.2">
      <c r="A29" s="9" t="s">
        <v>181</v>
      </c>
      <c r="B29" s="5" t="s">
        <v>7</v>
      </c>
      <c r="C29" s="173">
        <f>2378016.28+521212.12+79925.63</f>
        <v>2979154.03</v>
      </c>
      <c r="D29" s="173">
        <v>0</v>
      </c>
      <c r="E29" s="195">
        <f t="shared" si="4"/>
        <v>2979154.03</v>
      </c>
      <c r="F29" s="173">
        <v>1212121.21</v>
      </c>
      <c r="G29" s="43"/>
      <c r="H29" s="43"/>
    </row>
    <row r="30" spans="1:8" ht="29.25" customHeight="1" thickBot="1" x14ac:dyDescent="0.25">
      <c r="A30" s="15" t="s">
        <v>182</v>
      </c>
      <c r="B30" s="6" t="s">
        <v>6</v>
      </c>
      <c r="C30" s="174">
        <f>235423611.9+51599999.99</f>
        <v>287023611.88999999</v>
      </c>
      <c r="D30" s="174">
        <v>7912637.29</v>
      </c>
      <c r="E30" s="174">
        <f>C30+D30</f>
        <v>294936249.18000001</v>
      </c>
      <c r="F30" s="174">
        <v>120000000</v>
      </c>
      <c r="G30" s="43"/>
      <c r="H30" s="45"/>
    </row>
    <row r="31" spans="1:8" x14ac:dyDescent="0.2">
      <c r="A31" s="16"/>
      <c r="B31" s="17"/>
      <c r="C31" s="19"/>
      <c r="D31" s="19"/>
      <c r="E31" s="19"/>
      <c r="F31" s="20"/>
    </row>
    <row r="32" spans="1:8" x14ac:dyDescent="0.2">
      <c r="A32" s="16"/>
      <c r="B32" s="17"/>
      <c r="C32" s="19"/>
      <c r="D32" s="19"/>
      <c r="E32" s="19"/>
      <c r="F32" s="20"/>
    </row>
    <row r="33" spans="1:6" x14ac:dyDescent="0.2">
      <c r="A33" s="16"/>
      <c r="B33" s="17"/>
      <c r="C33" s="19"/>
      <c r="D33" s="19"/>
      <c r="E33" s="19"/>
      <c r="F33" s="20"/>
    </row>
    <row r="34" spans="1:6" x14ac:dyDescent="0.2">
      <c r="A34" s="16"/>
      <c r="B34" s="17"/>
      <c r="C34" s="19"/>
      <c r="D34" s="19"/>
      <c r="E34" s="19"/>
      <c r="F34" s="20"/>
    </row>
    <row r="35" spans="1:6" x14ac:dyDescent="0.2">
      <c r="A35" s="16"/>
      <c r="B35" s="17"/>
      <c r="C35" s="19"/>
      <c r="D35" s="19"/>
      <c r="E35" s="19"/>
      <c r="F35" s="20"/>
    </row>
    <row r="36" spans="1:6" x14ac:dyDescent="0.2">
      <c r="A36" s="16"/>
      <c r="B36" s="17"/>
      <c r="C36" s="19"/>
      <c r="D36" s="19"/>
      <c r="E36" s="19"/>
      <c r="F36" s="20"/>
    </row>
    <row r="37" spans="1:6" x14ac:dyDescent="0.2">
      <c r="A37" s="16"/>
      <c r="B37" s="17"/>
      <c r="C37" s="19"/>
      <c r="D37" s="19"/>
      <c r="E37" s="19"/>
      <c r="F37" s="20"/>
    </row>
    <row r="38" spans="1:6" x14ac:dyDescent="0.2">
      <c r="A38" s="16"/>
      <c r="B38" s="17"/>
      <c r="C38" s="19"/>
      <c r="D38" s="19"/>
      <c r="E38" s="19"/>
      <c r="F38" s="20"/>
    </row>
    <row r="39" spans="1:6" x14ac:dyDescent="0.2">
      <c r="A39" s="16"/>
      <c r="B39" s="17"/>
      <c r="C39" s="19"/>
      <c r="D39" s="19"/>
      <c r="E39" s="19"/>
      <c r="F39" s="20"/>
    </row>
    <row r="40" spans="1:6" x14ac:dyDescent="0.2">
      <c r="A40" s="16"/>
      <c r="B40" s="17"/>
      <c r="C40" s="19"/>
      <c r="D40" s="19"/>
      <c r="E40" s="19"/>
      <c r="F40" s="20"/>
    </row>
    <row r="41" spans="1:6" x14ac:dyDescent="0.2">
      <c r="A41" s="16"/>
      <c r="B41" s="17"/>
      <c r="C41" s="19"/>
      <c r="D41" s="19"/>
      <c r="E41" s="19"/>
      <c r="F41" s="20"/>
    </row>
    <row r="42" spans="1:6" x14ac:dyDescent="0.2">
      <c r="A42" s="16"/>
      <c r="B42" s="17"/>
      <c r="C42" s="19"/>
      <c r="D42" s="19"/>
      <c r="E42" s="19"/>
      <c r="F42" s="20"/>
    </row>
    <row r="43" spans="1:6" x14ac:dyDescent="0.2">
      <c r="A43" s="16"/>
      <c r="B43" s="17"/>
      <c r="C43" s="19"/>
      <c r="D43" s="19"/>
      <c r="E43" s="19"/>
      <c r="F43" s="20"/>
    </row>
    <row r="44" spans="1:6" x14ac:dyDescent="0.2">
      <c r="A44" s="16"/>
      <c r="B44" s="17"/>
      <c r="C44" s="19"/>
      <c r="D44" s="19"/>
      <c r="E44" s="19"/>
      <c r="F44" s="20"/>
    </row>
    <row r="45" spans="1:6" x14ac:dyDescent="0.2">
      <c r="A45" s="16"/>
      <c r="B45" s="17"/>
      <c r="C45" s="19"/>
      <c r="D45" s="19"/>
      <c r="E45" s="19"/>
      <c r="F45" s="20"/>
    </row>
    <row r="46" spans="1:6" x14ac:dyDescent="0.2">
      <c r="A46" s="16"/>
      <c r="B46" s="17"/>
      <c r="C46" s="19"/>
      <c r="D46" s="19"/>
      <c r="E46" s="19"/>
      <c r="F46" s="20"/>
    </row>
    <row r="47" spans="1:6" x14ac:dyDescent="0.2">
      <c r="A47" s="16"/>
      <c r="B47" s="17"/>
      <c r="C47" s="19"/>
      <c r="D47" s="19"/>
      <c r="E47" s="19"/>
      <c r="F47" s="20"/>
    </row>
    <row r="48" spans="1:6" x14ac:dyDescent="0.2">
      <c r="A48" s="16"/>
      <c r="B48" s="17"/>
      <c r="C48" s="19"/>
      <c r="D48" s="19"/>
      <c r="E48" s="19"/>
      <c r="F48" s="20"/>
    </row>
    <row r="49" spans="1:6" x14ac:dyDescent="0.2">
      <c r="A49" s="16"/>
      <c r="B49" s="17"/>
      <c r="C49" s="19"/>
      <c r="D49" s="19"/>
      <c r="E49" s="19"/>
      <c r="F49" s="20"/>
    </row>
    <row r="50" spans="1:6" x14ac:dyDescent="0.2">
      <c r="A50" s="16"/>
      <c r="B50" s="17"/>
      <c r="C50" s="19"/>
      <c r="D50" s="19"/>
      <c r="E50" s="19"/>
      <c r="F50" s="20"/>
    </row>
    <row r="51" spans="1:6" x14ac:dyDescent="0.2">
      <c r="A51" s="16"/>
      <c r="B51" s="17"/>
      <c r="C51" s="19"/>
      <c r="D51" s="19"/>
      <c r="E51" s="19"/>
      <c r="F51" s="20"/>
    </row>
    <row r="52" spans="1:6" x14ac:dyDescent="0.2">
      <c r="A52" s="16"/>
      <c r="B52" s="17"/>
      <c r="C52" s="19"/>
      <c r="D52" s="19"/>
      <c r="E52" s="19"/>
      <c r="F52" s="20"/>
    </row>
    <row r="53" spans="1:6" x14ac:dyDescent="0.2">
      <c r="A53" s="16"/>
      <c r="B53" s="17"/>
      <c r="C53" s="19"/>
      <c r="D53" s="19"/>
      <c r="E53" s="19"/>
      <c r="F53" s="20"/>
    </row>
    <row r="54" spans="1:6" x14ac:dyDescent="0.2">
      <c r="A54" s="16"/>
      <c r="B54" s="17"/>
      <c r="C54" s="19"/>
      <c r="D54" s="19"/>
      <c r="E54" s="19"/>
      <c r="F54" s="20"/>
    </row>
    <row r="55" spans="1:6" x14ac:dyDescent="0.2">
      <c r="A55" s="16"/>
      <c r="B55" s="17"/>
      <c r="C55" s="19"/>
      <c r="D55" s="19"/>
      <c r="E55" s="19"/>
      <c r="F55" s="20"/>
    </row>
    <row r="56" spans="1:6" x14ac:dyDescent="0.2">
      <c r="A56" s="16"/>
      <c r="B56" s="17"/>
      <c r="C56" s="19"/>
      <c r="D56" s="19"/>
      <c r="E56" s="19"/>
      <c r="F56" s="20"/>
    </row>
    <row r="57" spans="1:6" x14ac:dyDescent="0.2">
      <c r="A57" s="16"/>
      <c r="B57" s="17"/>
      <c r="C57" s="19"/>
      <c r="D57" s="19"/>
      <c r="E57" s="19"/>
      <c r="F57" s="20"/>
    </row>
    <row r="58" spans="1:6" x14ac:dyDescent="0.2">
      <c r="A58" s="16"/>
      <c r="B58" s="17"/>
      <c r="C58" s="19"/>
      <c r="D58" s="19"/>
      <c r="E58" s="19"/>
      <c r="F58" s="20"/>
    </row>
    <row r="59" spans="1:6" x14ac:dyDescent="0.2">
      <c r="A59" s="16"/>
      <c r="B59" s="17"/>
      <c r="C59" s="19"/>
      <c r="D59" s="19"/>
      <c r="E59" s="19"/>
      <c r="F59" s="20"/>
    </row>
    <row r="60" spans="1:6" x14ac:dyDescent="0.2">
      <c r="A60" s="16"/>
      <c r="B60" s="17"/>
      <c r="C60" s="19"/>
      <c r="D60" s="19"/>
      <c r="E60" s="19"/>
      <c r="F60" s="20"/>
    </row>
    <row r="61" spans="1:6" x14ac:dyDescent="0.2">
      <c r="A61" s="16"/>
      <c r="B61" s="17"/>
      <c r="C61" s="19"/>
      <c r="D61" s="19"/>
      <c r="E61" s="19"/>
      <c r="F61" s="20"/>
    </row>
    <row r="62" spans="1:6" x14ac:dyDescent="0.2">
      <c r="A62" s="16"/>
      <c r="B62" s="17"/>
      <c r="C62" s="19"/>
      <c r="D62" s="19"/>
      <c r="E62" s="19"/>
      <c r="F62" s="20"/>
    </row>
    <row r="63" spans="1:6" x14ac:dyDescent="0.2">
      <c r="A63" s="16"/>
      <c r="B63" s="17"/>
      <c r="C63" s="19"/>
      <c r="D63" s="19"/>
      <c r="E63" s="19"/>
      <c r="F63" s="20"/>
    </row>
    <row r="64" spans="1:6" x14ac:dyDescent="0.2">
      <c r="A64" s="16"/>
      <c r="B64" s="17"/>
      <c r="C64" s="19"/>
      <c r="D64" s="19"/>
      <c r="E64" s="19"/>
      <c r="F64" s="20"/>
    </row>
    <row r="65" spans="1:6" x14ac:dyDescent="0.2">
      <c r="A65" s="16"/>
      <c r="B65" s="17"/>
      <c r="C65" s="19"/>
      <c r="D65" s="19"/>
      <c r="E65" s="19"/>
      <c r="F65" s="20"/>
    </row>
    <row r="66" spans="1:6" x14ac:dyDescent="0.2">
      <c r="A66" s="16"/>
      <c r="B66" s="17"/>
      <c r="C66" s="19"/>
      <c r="D66" s="19"/>
      <c r="E66" s="19"/>
      <c r="F66" s="20"/>
    </row>
    <row r="67" spans="1:6" x14ac:dyDescent="0.2">
      <c r="A67" s="16"/>
      <c r="B67" s="17"/>
      <c r="C67" s="19"/>
      <c r="D67" s="19"/>
      <c r="E67" s="19"/>
      <c r="F67" s="20"/>
    </row>
    <row r="68" spans="1:6" x14ac:dyDescent="0.2">
      <c r="A68" s="16"/>
      <c r="B68" s="17"/>
      <c r="C68" s="19"/>
      <c r="D68" s="19"/>
      <c r="E68" s="19"/>
      <c r="F68" s="20"/>
    </row>
    <row r="69" spans="1:6" x14ac:dyDescent="0.2">
      <c r="A69" s="16"/>
      <c r="B69" s="17"/>
      <c r="C69" s="19"/>
      <c r="D69" s="19"/>
      <c r="E69" s="19"/>
      <c r="F69" s="20"/>
    </row>
    <row r="70" spans="1:6" x14ac:dyDescent="0.2">
      <c r="A70" s="16"/>
      <c r="B70" s="17"/>
      <c r="C70" s="19"/>
      <c r="D70" s="19"/>
      <c r="E70" s="19"/>
      <c r="F70" s="20"/>
    </row>
    <row r="71" spans="1:6" x14ac:dyDescent="0.2">
      <c r="A71" s="16"/>
      <c r="B71" s="17"/>
      <c r="C71" s="19"/>
      <c r="D71" s="19"/>
      <c r="E71" s="19"/>
      <c r="F71" s="20"/>
    </row>
    <row r="72" spans="1:6" x14ac:dyDescent="0.2">
      <c r="A72" s="16"/>
      <c r="B72" s="17"/>
      <c r="C72" s="19"/>
      <c r="D72" s="19"/>
      <c r="E72" s="19"/>
      <c r="F72" s="20"/>
    </row>
    <row r="73" spans="1:6" x14ac:dyDescent="0.2">
      <c r="A73" s="16"/>
      <c r="B73" s="17"/>
      <c r="C73" s="19"/>
      <c r="D73" s="19"/>
      <c r="E73" s="19"/>
      <c r="F73" s="20"/>
    </row>
    <row r="74" spans="1:6" x14ac:dyDescent="0.2">
      <c r="A74" s="16"/>
      <c r="B74" s="17"/>
      <c r="C74" s="19"/>
      <c r="D74" s="19"/>
      <c r="E74" s="19"/>
      <c r="F74" s="20"/>
    </row>
    <row r="75" spans="1:6" x14ac:dyDescent="0.2">
      <c r="A75" s="16"/>
      <c r="B75" s="17"/>
      <c r="C75" s="19"/>
      <c r="D75" s="19"/>
      <c r="E75" s="19"/>
      <c r="F75" s="20"/>
    </row>
    <row r="76" spans="1:6" x14ac:dyDescent="0.2">
      <c r="A76" s="16"/>
      <c r="B76" s="17"/>
      <c r="C76" s="19"/>
      <c r="D76" s="19"/>
      <c r="E76" s="19"/>
      <c r="F76" s="20"/>
    </row>
    <row r="77" spans="1:6" x14ac:dyDescent="0.2">
      <c r="A77" s="16"/>
      <c r="B77" s="17"/>
      <c r="C77" s="19"/>
      <c r="D77" s="19"/>
      <c r="E77" s="19"/>
      <c r="F77" s="20"/>
    </row>
    <row r="78" spans="1:6" x14ac:dyDescent="0.2">
      <c r="A78" s="16"/>
      <c r="B78" s="17"/>
      <c r="C78" s="19"/>
      <c r="D78" s="19"/>
      <c r="E78" s="19"/>
      <c r="F78" s="20"/>
    </row>
    <row r="79" spans="1:6" x14ac:dyDescent="0.2">
      <c r="A79" s="16"/>
      <c r="B79" s="17"/>
      <c r="C79" s="19"/>
      <c r="D79" s="19"/>
      <c r="E79" s="19"/>
      <c r="F79" s="20"/>
    </row>
    <row r="80" spans="1:6" x14ac:dyDescent="0.2">
      <c r="A80" s="16"/>
      <c r="B80" s="17"/>
      <c r="C80" s="19"/>
      <c r="D80" s="19"/>
      <c r="E80" s="19"/>
      <c r="F80" s="20"/>
    </row>
    <row r="81" spans="1:6" x14ac:dyDescent="0.2">
      <c r="A81" s="16"/>
      <c r="B81" s="17"/>
      <c r="C81" s="19"/>
      <c r="D81" s="19"/>
      <c r="E81" s="19"/>
      <c r="F81" s="20"/>
    </row>
    <row r="82" spans="1:6" x14ac:dyDescent="0.2">
      <c r="A82" s="16"/>
      <c r="B82" s="17"/>
      <c r="C82" s="19"/>
      <c r="D82" s="19"/>
      <c r="E82" s="19"/>
      <c r="F82" s="20"/>
    </row>
    <row r="83" spans="1:6" x14ac:dyDescent="0.2">
      <c r="A83" s="16"/>
      <c r="B83" s="17"/>
      <c r="C83" s="19"/>
      <c r="D83" s="19"/>
      <c r="E83" s="19"/>
      <c r="F83" s="20"/>
    </row>
    <row r="84" spans="1:6" x14ac:dyDescent="0.2">
      <c r="A84" s="16"/>
      <c r="B84" s="17"/>
      <c r="C84" s="19"/>
      <c r="D84" s="19"/>
      <c r="E84" s="19"/>
      <c r="F84" s="20"/>
    </row>
    <row r="85" spans="1:6" x14ac:dyDescent="0.2">
      <c r="A85" s="16"/>
      <c r="B85" s="17"/>
      <c r="C85" s="19"/>
      <c r="D85" s="19"/>
      <c r="E85" s="19"/>
      <c r="F85" s="20"/>
    </row>
    <row r="86" spans="1:6" x14ac:dyDescent="0.2">
      <c r="A86" s="16"/>
      <c r="B86" s="17"/>
      <c r="C86" s="19"/>
      <c r="D86" s="19"/>
      <c r="E86" s="19"/>
      <c r="F86" s="20"/>
    </row>
    <row r="87" spans="1:6" x14ac:dyDescent="0.2">
      <c r="A87" s="16"/>
      <c r="B87" s="17"/>
      <c r="C87" s="19"/>
      <c r="D87" s="19"/>
      <c r="E87" s="19"/>
      <c r="F87" s="20"/>
    </row>
    <row r="88" spans="1:6" x14ac:dyDescent="0.2">
      <c r="A88" s="16"/>
      <c r="B88" s="17"/>
      <c r="C88" s="19"/>
      <c r="D88" s="19"/>
      <c r="E88" s="19"/>
      <c r="F88" s="20"/>
    </row>
    <row r="89" spans="1:6" x14ac:dyDescent="0.2">
      <c r="A89" s="16"/>
      <c r="B89" s="17"/>
      <c r="C89" s="19"/>
      <c r="D89" s="19"/>
      <c r="E89" s="19"/>
      <c r="F89" s="20"/>
    </row>
    <row r="90" spans="1:6" x14ac:dyDescent="0.2">
      <c r="A90" s="16"/>
      <c r="B90" s="17"/>
      <c r="C90" s="19"/>
      <c r="D90" s="19"/>
      <c r="E90" s="19"/>
      <c r="F90" s="20"/>
    </row>
    <row r="91" spans="1:6" x14ac:dyDescent="0.2">
      <c r="A91" s="16"/>
      <c r="B91" s="17"/>
      <c r="C91" s="19"/>
      <c r="D91" s="19"/>
      <c r="E91" s="19"/>
      <c r="F91" s="20"/>
    </row>
    <row r="92" spans="1:6" x14ac:dyDescent="0.2">
      <c r="A92" s="16"/>
      <c r="B92" s="17"/>
      <c r="C92" s="19"/>
      <c r="D92" s="19"/>
      <c r="E92" s="19"/>
      <c r="F92" s="20"/>
    </row>
    <row r="93" spans="1:6" x14ac:dyDescent="0.2">
      <c r="A93" s="16"/>
      <c r="B93" s="17"/>
      <c r="C93" s="19"/>
      <c r="D93" s="19"/>
      <c r="E93" s="19"/>
      <c r="F93" s="20"/>
    </row>
    <row r="94" spans="1:6" x14ac:dyDescent="0.2">
      <c r="A94" s="16"/>
      <c r="B94" s="17"/>
      <c r="C94" s="19"/>
      <c r="D94" s="19"/>
      <c r="E94" s="19"/>
      <c r="F94" s="20"/>
    </row>
    <row r="95" spans="1:6" x14ac:dyDescent="0.2">
      <c r="A95" s="16"/>
      <c r="B95" s="17"/>
      <c r="C95" s="19"/>
      <c r="D95" s="19"/>
      <c r="E95" s="19"/>
      <c r="F95" s="20"/>
    </row>
    <row r="96" spans="1:6" x14ac:dyDescent="0.2">
      <c r="A96" s="16"/>
      <c r="B96" s="17"/>
      <c r="C96" s="19"/>
      <c r="D96" s="19"/>
      <c r="E96" s="19"/>
      <c r="F96" s="20"/>
    </row>
    <row r="97" spans="1:6" x14ac:dyDescent="0.2">
      <c r="A97" s="16"/>
      <c r="B97" s="17"/>
      <c r="C97" s="19"/>
      <c r="D97" s="19"/>
      <c r="E97" s="19"/>
      <c r="F97" s="20"/>
    </row>
    <row r="98" spans="1:6" x14ac:dyDescent="0.2">
      <c r="A98" s="16"/>
      <c r="B98" s="17"/>
      <c r="C98" s="19"/>
      <c r="D98" s="19"/>
      <c r="E98" s="19"/>
      <c r="F98" s="20"/>
    </row>
    <row r="99" spans="1:6" x14ac:dyDescent="0.2">
      <c r="A99" s="16"/>
      <c r="B99" s="17"/>
      <c r="C99" s="19"/>
      <c r="D99" s="19"/>
      <c r="E99" s="19"/>
      <c r="F99" s="20"/>
    </row>
    <row r="100" spans="1:6" x14ac:dyDescent="0.2">
      <c r="A100" s="16"/>
      <c r="B100" s="17"/>
      <c r="C100" s="19"/>
      <c r="D100" s="19"/>
      <c r="E100" s="19"/>
      <c r="F100" s="20"/>
    </row>
    <row r="101" spans="1:6" x14ac:dyDescent="0.2">
      <c r="A101" s="16"/>
      <c r="B101" s="17"/>
      <c r="C101" s="19"/>
      <c r="D101" s="19"/>
      <c r="E101" s="19"/>
      <c r="F101" s="20"/>
    </row>
    <row r="102" spans="1:6" x14ac:dyDescent="0.2">
      <c r="A102" s="16"/>
      <c r="B102" s="17"/>
      <c r="C102" s="19"/>
      <c r="D102" s="19"/>
      <c r="E102" s="19"/>
      <c r="F102" s="20"/>
    </row>
    <row r="103" spans="1:6" x14ac:dyDescent="0.2">
      <c r="A103" s="16"/>
      <c r="B103" s="17"/>
      <c r="C103" s="19"/>
      <c r="D103" s="19"/>
      <c r="E103" s="19"/>
      <c r="F103" s="20"/>
    </row>
    <row r="104" spans="1:6" x14ac:dyDescent="0.2">
      <c r="A104" s="16"/>
      <c r="B104" s="17"/>
      <c r="C104" s="19"/>
      <c r="D104" s="19"/>
      <c r="E104" s="19"/>
      <c r="F104" s="20"/>
    </row>
    <row r="105" spans="1:6" x14ac:dyDescent="0.2">
      <c r="A105" s="16"/>
      <c r="B105" s="17"/>
      <c r="C105" s="19"/>
      <c r="D105" s="19"/>
      <c r="E105" s="19"/>
      <c r="F105" s="20"/>
    </row>
    <row r="106" spans="1:6" x14ac:dyDescent="0.2">
      <c r="A106" s="16"/>
      <c r="B106" s="17"/>
      <c r="C106" s="19"/>
      <c r="D106" s="19"/>
      <c r="E106" s="19"/>
      <c r="F106" s="20"/>
    </row>
    <row r="107" spans="1:6" x14ac:dyDescent="0.2">
      <c r="A107" s="16"/>
      <c r="B107" s="17"/>
      <c r="C107" s="19"/>
      <c r="D107" s="19"/>
      <c r="E107" s="19"/>
      <c r="F107" s="20"/>
    </row>
    <row r="108" spans="1:6" x14ac:dyDescent="0.2">
      <c r="A108" s="16"/>
      <c r="B108" s="17"/>
      <c r="C108" s="19"/>
      <c r="D108" s="19"/>
      <c r="E108" s="19"/>
      <c r="F108" s="20"/>
    </row>
    <row r="109" spans="1:6" x14ac:dyDescent="0.2">
      <c r="A109" s="16"/>
      <c r="B109" s="17"/>
      <c r="C109" s="19"/>
      <c r="D109" s="19"/>
      <c r="E109" s="19"/>
      <c r="F109" s="20"/>
    </row>
    <row r="110" spans="1:6" x14ac:dyDescent="0.2">
      <c r="A110" s="16"/>
      <c r="B110" s="17"/>
      <c r="C110" s="19"/>
      <c r="D110" s="19"/>
      <c r="E110" s="19"/>
      <c r="F110" s="20"/>
    </row>
    <row r="111" spans="1:6" x14ac:dyDescent="0.2">
      <c r="A111" s="16"/>
      <c r="B111" s="17"/>
      <c r="C111" s="19"/>
      <c r="D111" s="19"/>
      <c r="E111" s="19"/>
      <c r="F111" s="20"/>
    </row>
    <row r="112" spans="1:6" x14ac:dyDescent="0.2">
      <c r="A112" s="16"/>
      <c r="B112" s="17"/>
      <c r="C112" s="19"/>
      <c r="D112" s="19"/>
      <c r="E112" s="19"/>
      <c r="F112" s="20"/>
    </row>
    <row r="113" spans="1:6" x14ac:dyDescent="0.2">
      <c r="A113" s="16"/>
      <c r="B113" s="17"/>
      <c r="C113" s="19"/>
      <c r="D113" s="19"/>
      <c r="E113" s="19"/>
      <c r="F113" s="20"/>
    </row>
    <row r="114" spans="1:6" x14ac:dyDescent="0.2">
      <c r="A114" s="16"/>
      <c r="B114" s="17"/>
      <c r="C114" s="19"/>
      <c r="D114" s="19"/>
      <c r="E114" s="19"/>
      <c r="F114" s="20"/>
    </row>
    <row r="115" spans="1:6" x14ac:dyDescent="0.2">
      <c r="A115" s="16"/>
      <c r="B115" s="17"/>
      <c r="C115" s="19"/>
      <c r="D115" s="19"/>
      <c r="E115" s="19"/>
      <c r="F115" s="20"/>
    </row>
    <row r="116" spans="1:6" x14ac:dyDescent="0.2">
      <c r="A116" s="16"/>
      <c r="B116" s="17"/>
      <c r="C116" s="19"/>
      <c r="D116" s="19"/>
      <c r="E116" s="19"/>
      <c r="F116" s="20"/>
    </row>
    <row r="117" spans="1:6" x14ac:dyDescent="0.2">
      <c r="A117" s="16"/>
      <c r="B117" s="17"/>
      <c r="C117" s="19"/>
      <c r="D117" s="19"/>
      <c r="E117" s="19"/>
      <c r="F117" s="20"/>
    </row>
    <row r="118" spans="1:6" x14ac:dyDescent="0.2">
      <c r="A118" s="16"/>
      <c r="B118" s="17"/>
      <c r="C118" s="19"/>
      <c r="D118" s="19"/>
      <c r="E118" s="19"/>
      <c r="F118" s="20"/>
    </row>
    <row r="119" spans="1:6" x14ac:dyDescent="0.2">
      <c r="A119" s="20"/>
      <c r="B119" s="20"/>
      <c r="C119" s="21"/>
      <c r="D119" s="21"/>
      <c r="E119" s="21"/>
      <c r="F119" s="20"/>
    </row>
  </sheetData>
  <mergeCells count="7">
    <mergeCell ref="A5:F5"/>
    <mergeCell ref="F2:F3"/>
    <mergeCell ref="C2:E2"/>
    <mergeCell ref="B1:C1"/>
    <mergeCell ref="A2:A3"/>
    <mergeCell ref="B2:B3"/>
    <mergeCell ref="A4:F4"/>
  </mergeCells>
  <pageMargins left="0.51181102362204722" right="0.39370078740157483" top="1.5748031496062993" bottom="0.39370078740157483" header="0.51181102362204722" footer="0.51181102362204722"/>
  <pageSetup paperSize="9" scale="87" firstPageNumber="3" fitToHeight="0" orientation="portrait" useFirstPageNumber="1" r:id="rId1"/>
  <headerFooter alignWithMargins="0">
    <oddHeader>&amp;C
&amp;P</oddHeader>
  </headerFooter>
  <rowBreaks count="1" manualBreakCount="1">
    <brk id="18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Перечень </vt:lpstr>
      <vt:lpstr>Изменения</vt:lpstr>
      <vt:lpstr>Лист1</vt:lpstr>
      <vt:lpstr>Лист2</vt:lpstr>
      <vt:lpstr>Изменения!Заголовки_для_печати</vt:lpstr>
      <vt:lpstr>'Перечень '!Заголовки_для_печати</vt:lpstr>
      <vt:lpstr>Изменения!Область_печати</vt:lpstr>
      <vt:lpstr>'Перечень 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Родина</dc:creator>
  <cp:lastModifiedBy>Комитет по информационной политике (Марианна)</cp:lastModifiedBy>
  <cp:lastPrinted>2024-06-20T09:13:54Z</cp:lastPrinted>
  <dcterms:created xsi:type="dcterms:W3CDTF">2014-12-30T07:03:20Z</dcterms:created>
  <dcterms:modified xsi:type="dcterms:W3CDTF">2024-07-24T14:29:44Z</dcterms:modified>
</cp:coreProperties>
</file>