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385" yWindow="-15" windowWidth="14430" windowHeight="1197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'!$A$1:$K$453</definedName>
  </definedNames>
  <calcPr calcId="144525"/>
</workbook>
</file>

<file path=xl/calcChain.xml><?xml version="1.0" encoding="utf-8"?>
<calcChain xmlns="http://schemas.openxmlformats.org/spreadsheetml/2006/main">
  <c r="I8" i="3" l="1"/>
  <c r="I332" i="3"/>
  <c r="I338" i="3"/>
  <c r="I339" i="3"/>
  <c r="I341" i="3"/>
  <c r="I310" i="3"/>
  <c r="I309" i="3" s="1"/>
  <c r="I183" i="3"/>
  <c r="I187" i="3"/>
  <c r="K48" i="3" l="1"/>
  <c r="K46" i="3"/>
  <c r="J10" i="3" l="1"/>
  <c r="J9" i="3"/>
  <c r="K8" i="3"/>
  <c r="J8" i="3"/>
  <c r="I10" i="3"/>
  <c r="I9" i="3"/>
  <c r="K152" i="3"/>
  <c r="J152" i="3"/>
  <c r="I152" i="3"/>
  <c r="K151" i="3"/>
  <c r="J151" i="3"/>
  <c r="I151" i="3"/>
  <c r="K150" i="3" l="1"/>
  <c r="J150" i="3"/>
  <c r="I150" i="3"/>
  <c r="K83" i="3"/>
  <c r="J83" i="3"/>
  <c r="I83" i="3"/>
  <c r="K82" i="3"/>
  <c r="J82" i="3"/>
  <c r="H82" i="3" s="1"/>
  <c r="I82" i="3"/>
  <c r="K81" i="3"/>
  <c r="J81" i="3"/>
  <c r="I81" i="3"/>
  <c r="H152" i="3"/>
  <c r="H151" i="3"/>
  <c r="J44" i="3"/>
  <c r="J46" i="3"/>
  <c r="J48" i="3"/>
  <c r="I40" i="3"/>
  <c r="H47" i="3"/>
  <c r="H45" i="3"/>
  <c r="H43" i="3"/>
  <c r="H150" i="3" l="1"/>
  <c r="H83" i="3"/>
  <c r="H81" i="3"/>
  <c r="K410" i="3"/>
  <c r="K430" i="3" s="1"/>
  <c r="J410" i="3"/>
  <c r="J430" i="3" s="1"/>
  <c r="I410" i="3"/>
  <c r="H405" i="3"/>
  <c r="K404" i="3"/>
  <c r="J404" i="3"/>
  <c r="I404" i="3"/>
  <c r="G404" i="3"/>
  <c r="H410" i="3" l="1"/>
  <c r="I430" i="3"/>
  <c r="H430" i="3"/>
  <c r="H404" i="3"/>
  <c r="G306" i="3" l="1"/>
  <c r="G294" i="3"/>
  <c r="G206" i="3"/>
  <c r="G204" i="3"/>
  <c r="E202" i="3"/>
  <c r="G200" i="3"/>
  <c r="G198" i="3"/>
  <c r="G196" i="3"/>
  <c r="E117" i="3" l="1"/>
  <c r="G115" i="3"/>
  <c r="E113" i="3"/>
  <c r="E111" i="3"/>
  <c r="G107" i="3"/>
  <c r="H197" i="3" l="1"/>
  <c r="K196" i="3"/>
  <c r="J196" i="3"/>
  <c r="I196" i="3"/>
  <c r="I194" i="3"/>
  <c r="I191" i="3"/>
  <c r="K347" i="3"/>
  <c r="K391" i="3" s="1"/>
  <c r="J347" i="3"/>
  <c r="J391" i="3" s="1"/>
  <c r="I347" i="3"/>
  <c r="I391" i="3" s="1"/>
  <c r="K341" i="3"/>
  <c r="K385" i="3" s="1"/>
  <c r="J341" i="3"/>
  <c r="H341" i="3" s="1"/>
  <c r="I385" i="3"/>
  <c r="K340" i="3"/>
  <c r="K384" i="3" s="1"/>
  <c r="J340" i="3"/>
  <c r="J384" i="3" s="1"/>
  <c r="I340" i="3"/>
  <c r="I384" i="3" s="1"/>
  <c r="K339" i="3"/>
  <c r="J339" i="3"/>
  <c r="J383" i="3" s="1"/>
  <c r="I383" i="3"/>
  <c r="J225" i="3"/>
  <c r="J221" i="3"/>
  <c r="J217" i="3"/>
  <c r="J215" i="3"/>
  <c r="J213" i="3"/>
  <c r="J211" i="3"/>
  <c r="H293" i="3"/>
  <c r="K291" i="3"/>
  <c r="J291" i="3"/>
  <c r="I291" i="3"/>
  <c r="H283" i="3"/>
  <c r="H299" i="3"/>
  <c r="K298" i="3"/>
  <c r="K297" i="3" s="1"/>
  <c r="K296" i="3" s="1"/>
  <c r="J298" i="3"/>
  <c r="J297" i="3" s="1"/>
  <c r="I298" i="3"/>
  <c r="I297" i="3" s="1"/>
  <c r="I296" i="3" s="1"/>
  <c r="G298" i="3"/>
  <c r="H277" i="3"/>
  <c r="K350" i="3"/>
  <c r="J350" i="3"/>
  <c r="J394" i="3" s="1"/>
  <c r="I350" i="3"/>
  <c r="I394" i="3" s="1"/>
  <c r="J386" i="3"/>
  <c r="K342" i="3"/>
  <c r="K386" i="3" s="1"/>
  <c r="J342" i="3"/>
  <c r="I342" i="3"/>
  <c r="I386" i="3" s="1"/>
  <c r="J365" i="3"/>
  <c r="K323" i="3"/>
  <c r="K367" i="3" s="1"/>
  <c r="J323" i="3"/>
  <c r="I323" i="3"/>
  <c r="I367" i="3" s="1"/>
  <c r="K322" i="3"/>
  <c r="J322" i="3"/>
  <c r="J366" i="3" s="1"/>
  <c r="I322" i="3"/>
  <c r="I366" i="3" s="1"/>
  <c r="K321" i="3"/>
  <c r="K365" i="3" s="1"/>
  <c r="J321" i="3"/>
  <c r="I321" i="3"/>
  <c r="I365" i="3" s="1"/>
  <c r="K319" i="3"/>
  <c r="K363" i="3" s="1"/>
  <c r="J319" i="3"/>
  <c r="J363" i="3" s="1"/>
  <c r="I319" i="3"/>
  <c r="I363" i="3" s="1"/>
  <c r="K318" i="3"/>
  <c r="K362" i="3" s="1"/>
  <c r="J318" i="3"/>
  <c r="J362" i="3" s="1"/>
  <c r="I318" i="3"/>
  <c r="I362" i="3" s="1"/>
  <c r="K317" i="3"/>
  <c r="K361" i="3" s="1"/>
  <c r="J317" i="3"/>
  <c r="J361" i="3" s="1"/>
  <c r="I317" i="3"/>
  <c r="I361" i="3" s="1"/>
  <c r="H361" i="3" s="1"/>
  <c r="K316" i="3"/>
  <c r="K360" i="3" s="1"/>
  <c r="J316" i="3"/>
  <c r="J360" i="3" s="1"/>
  <c r="I316" i="3"/>
  <c r="H316" i="3" s="1"/>
  <c r="K315" i="3"/>
  <c r="H315" i="3" s="1"/>
  <c r="J315" i="3"/>
  <c r="J359" i="3" s="1"/>
  <c r="I315" i="3"/>
  <c r="I359" i="3" s="1"/>
  <c r="K288" i="3"/>
  <c r="J288" i="3"/>
  <c r="H240" i="3"/>
  <c r="K239" i="3"/>
  <c r="J239" i="3"/>
  <c r="I239" i="3"/>
  <c r="H207" i="3"/>
  <c r="K206" i="3"/>
  <c r="J206" i="3"/>
  <c r="I206" i="3"/>
  <c r="H205" i="3"/>
  <c r="K204" i="3"/>
  <c r="J204" i="3"/>
  <c r="I204" i="3"/>
  <c r="K306" i="3"/>
  <c r="J306" i="3"/>
  <c r="H308" i="3"/>
  <c r="H295" i="3"/>
  <c r="K294" i="3"/>
  <c r="J294" i="3"/>
  <c r="I294" i="3"/>
  <c r="H323" i="3" l="1"/>
  <c r="H350" i="3"/>
  <c r="H339" i="3"/>
  <c r="J367" i="3"/>
  <c r="H367" i="3" s="1"/>
  <c r="H340" i="3"/>
  <c r="H347" i="3"/>
  <c r="K383" i="3"/>
  <c r="H383" i="3" s="1"/>
  <c r="H318" i="3"/>
  <c r="H321" i="3"/>
  <c r="H322" i="3"/>
  <c r="K359" i="3"/>
  <c r="H359" i="3" s="1"/>
  <c r="H342" i="3"/>
  <c r="J385" i="3"/>
  <c r="H385" i="3" s="1"/>
  <c r="H319" i="3"/>
  <c r="I360" i="3"/>
  <c r="H360" i="3" s="1"/>
  <c r="K366" i="3"/>
  <c r="H366" i="3" s="1"/>
  <c r="H362" i="3"/>
  <c r="H391" i="3"/>
  <c r="H363" i="3"/>
  <c r="H386" i="3"/>
  <c r="H196" i="3"/>
  <c r="H384" i="3"/>
  <c r="H297" i="3"/>
  <c r="J296" i="3"/>
  <c r="H296" i="3" s="1"/>
  <c r="H298" i="3"/>
  <c r="K394" i="3"/>
  <c r="H394" i="3" s="1"/>
  <c r="H294" i="3"/>
  <c r="H365" i="3"/>
  <c r="H317" i="3"/>
  <c r="H206" i="3"/>
  <c r="H204" i="3"/>
  <c r="H250" i="3"/>
  <c r="I249" i="3"/>
  <c r="H245" i="3"/>
  <c r="K244" i="3"/>
  <c r="J244" i="3"/>
  <c r="I244" i="3"/>
  <c r="H203" i="3"/>
  <c r="K202" i="3"/>
  <c r="J202" i="3"/>
  <c r="I202" i="3"/>
  <c r="I178" i="3"/>
  <c r="K200" i="3"/>
  <c r="J200" i="3"/>
  <c r="I200" i="3"/>
  <c r="H201" i="3"/>
  <c r="H199" i="3"/>
  <c r="K198" i="3"/>
  <c r="J198" i="3"/>
  <c r="I198" i="3"/>
  <c r="I307" i="3"/>
  <c r="I306" i="3" s="1"/>
  <c r="J392" i="3"/>
  <c r="K349" i="3"/>
  <c r="K393" i="3" s="1"/>
  <c r="J349" i="3"/>
  <c r="J393" i="3" s="1"/>
  <c r="I349" i="3"/>
  <c r="I393" i="3" s="1"/>
  <c r="K348" i="3"/>
  <c r="K392" i="3" s="1"/>
  <c r="J348" i="3"/>
  <c r="I348" i="3"/>
  <c r="I392" i="3" s="1"/>
  <c r="I364" i="3"/>
  <c r="K320" i="3"/>
  <c r="K364" i="3" s="1"/>
  <c r="J320" i="3"/>
  <c r="J364" i="3" s="1"/>
  <c r="I320" i="3"/>
  <c r="K310" i="3"/>
  <c r="J310" i="3"/>
  <c r="H307" i="3"/>
  <c r="I302" i="3"/>
  <c r="I301" i="3" s="1"/>
  <c r="I262" i="3"/>
  <c r="I258" i="3"/>
  <c r="H263" i="3"/>
  <c r="H259" i="3"/>
  <c r="K254" i="3"/>
  <c r="I254" i="3"/>
  <c r="H255" i="3"/>
  <c r="K302" i="3"/>
  <c r="K301" i="3" s="1"/>
  <c r="J302" i="3"/>
  <c r="J301" i="3" s="1"/>
  <c r="H303" i="3"/>
  <c r="K194" i="3"/>
  <c r="J194" i="3"/>
  <c r="H195" i="3"/>
  <c r="H193" i="3"/>
  <c r="K192" i="3"/>
  <c r="J192" i="3"/>
  <c r="I192" i="3"/>
  <c r="K190" i="3"/>
  <c r="J190" i="3"/>
  <c r="I190" i="3"/>
  <c r="H191" i="3"/>
  <c r="H189" i="3"/>
  <c r="K188" i="3"/>
  <c r="J188" i="3"/>
  <c r="H187" i="3"/>
  <c r="K186" i="3"/>
  <c r="J186" i="3"/>
  <c r="H185" i="3"/>
  <c r="K184" i="3"/>
  <c r="J184" i="3"/>
  <c r="I184" i="3"/>
  <c r="I238" i="3" l="1"/>
  <c r="H348" i="3"/>
  <c r="H184" i="3"/>
  <c r="H198" i="3"/>
  <c r="H194" i="3"/>
  <c r="H392" i="3"/>
  <c r="H364" i="3"/>
  <c r="H202" i="3"/>
  <c r="H200" i="3"/>
  <c r="H393" i="3"/>
  <c r="H349" i="3"/>
  <c r="H320" i="3"/>
  <c r="H306" i="3"/>
  <c r="H192" i="3"/>
  <c r="H190" i="3"/>
  <c r="I188" i="3"/>
  <c r="H188" i="3" s="1"/>
  <c r="I186" i="3"/>
  <c r="H186" i="3" s="1"/>
  <c r="K42" i="3" l="1"/>
  <c r="K44" i="3"/>
  <c r="J41" i="3"/>
  <c r="J42" i="3"/>
  <c r="K138" i="3"/>
  <c r="K169" i="3" s="1"/>
  <c r="J138" i="3"/>
  <c r="J169" i="3" s="1"/>
  <c r="I138" i="3"/>
  <c r="I169" i="3" s="1"/>
  <c r="K126" i="3"/>
  <c r="J126" i="3"/>
  <c r="I126" i="3"/>
  <c r="K123" i="3"/>
  <c r="J123" i="3"/>
  <c r="I123" i="3"/>
  <c r="K120" i="3"/>
  <c r="J120" i="3"/>
  <c r="I120" i="3"/>
  <c r="H127" i="3"/>
  <c r="H124" i="3"/>
  <c r="H121" i="3"/>
  <c r="H169" i="3" l="1"/>
  <c r="H138" i="3"/>
  <c r="K91" i="3" l="1"/>
  <c r="K160" i="3" s="1"/>
  <c r="J91" i="3"/>
  <c r="J160" i="3" s="1"/>
  <c r="I91" i="3"/>
  <c r="I160" i="3" s="1"/>
  <c r="K90" i="3"/>
  <c r="K159" i="3" s="1"/>
  <c r="J90" i="3"/>
  <c r="J159" i="3" s="1"/>
  <c r="I90" i="3"/>
  <c r="I159" i="3" s="1"/>
  <c r="K59" i="3"/>
  <c r="J59" i="3"/>
  <c r="I59" i="3"/>
  <c r="H63" i="3"/>
  <c r="H62" i="3"/>
  <c r="K89" i="3"/>
  <c r="J89" i="3"/>
  <c r="I89" i="3"/>
  <c r="H69" i="3"/>
  <c r="K67" i="3"/>
  <c r="J67" i="3"/>
  <c r="K88" i="3"/>
  <c r="J88" i="3"/>
  <c r="H60" i="3"/>
  <c r="I68" i="3"/>
  <c r="I88" i="3" s="1"/>
  <c r="K71" i="3"/>
  <c r="J71" i="3"/>
  <c r="K19" i="3"/>
  <c r="J19" i="3"/>
  <c r="I19" i="3"/>
  <c r="H20" i="3"/>
  <c r="I38" i="3"/>
  <c r="I71" i="3" s="1"/>
  <c r="I67" i="3" l="1"/>
  <c r="H91" i="3"/>
  <c r="H160" i="3"/>
  <c r="H159" i="3"/>
  <c r="H90" i="3"/>
  <c r="K134" i="3"/>
  <c r="K165" i="3" s="1"/>
  <c r="J134" i="3"/>
  <c r="I134" i="3"/>
  <c r="I165" i="3" s="1"/>
  <c r="H118" i="3"/>
  <c r="K117" i="3"/>
  <c r="J117" i="3"/>
  <c r="I117" i="3"/>
  <c r="K133" i="3"/>
  <c r="K164" i="3" s="1"/>
  <c r="J133" i="3"/>
  <c r="J164" i="3" s="1"/>
  <c r="I133" i="3"/>
  <c r="I164" i="3" s="1"/>
  <c r="H100" i="3"/>
  <c r="K99" i="3"/>
  <c r="J99" i="3"/>
  <c r="I99" i="3"/>
  <c r="K130" i="3"/>
  <c r="J130" i="3"/>
  <c r="J161" i="3" s="1"/>
  <c r="I130" i="3"/>
  <c r="H96" i="3"/>
  <c r="K95" i="3"/>
  <c r="J95" i="3"/>
  <c r="I95" i="3"/>
  <c r="K132" i="3"/>
  <c r="K163" i="3" s="1"/>
  <c r="J132" i="3"/>
  <c r="J163" i="3" s="1"/>
  <c r="I132" i="3"/>
  <c r="I163" i="3" s="1"/>
  <c r="H114" i="3"/>
  <c r="K113" i="3"/>
  <c r="J113" i="3"/>
  <c r="I113" i="3"/>
  <c r="K137" i="3"/>
  <c r="K168" i="3" s="1"/>
  <c r="J137" i="3"/>
  <c r="J168" i="3" s="1"/>
  <c r="I137" i="3"/>
  <c r="I168" i="3" s="1"/>
  <c r="H108" i="3"/>
  <c r="K107" i="3"/>
  <c r="J107" i="3"/>
  <c r="I107" i="3"/>
  <c r="I115" i="3"/>
  <c r="I111" i="3"/>
  <c r="K136" i="3"/>
  <c r="K167" i="3" s="1"/>
  <c r="J136" i="3"/>
  <c r="J167" i="3" s="1"/>
  <c r="I136" i="3"/>
  <c r="I167" i="3" s="1"/>
  <c r="K135" i="3"/>
  <c r="K166" i="3" s="1"/>
  <c r="J135" i="3"/>
  <c r="J166" i="3" s="1"/>
  <c r="H116" i="3"/>
  <c r="K115" i="3"/>
  <c r="J115" i="3"/>
  <c r="I135" i="3"/>
  <c r="I103" i="3"/>
  <c r="H104" i="3"/>
  <c r="K103" i="3"/>
  <c r="J103" i="3"/>
  <c r="K131" i="3"/>
  <c r="K162" i="3" s="1"/>
  <c r="J131" i="3"/>
  <c r="J162" i="3" s="1"/>
  <c r="I131" i="3"/>
  <c r="I162" i="3" s="1"/>
  <c r="H112" i="3"/>
  <c r="K111" i="3"/>
  <c r="J111" i="3"/>
  <c r="K79" i="3"/>
  <c r="J79" i="3"/>
  <c r="J148" i="3" s="1"/>
  <c r="I79" i="3"/>
  <c r="I148" i="3" s="1"/>
  <c r="I51" i="3"/>
  <c r="H53" i="3"/>
  <c r="K87" i="3"/>
  <c r="J87" i="3"/>
  <c r="J156" i="3" s="1"/>
  <c r="I87" i="3"/>
  <c r="H55" i="3"/>
  <c r="K54" i="3"/>
  <c r="J54" i="3"/>
  <c r="I54" i="3"/>
  <c r="G54" i="3"/>
  <c r="K78" i="3"/>
  <c r="K147" i="3" s="1"/>
  <c r="J78" i="3"/>
  <c r="J147" i="3" s="1"/>
  <c r="I78" i="3"/>
  <c r="I147" i="3" s="1"/>
  <c r="H21" i="3"/>
  <c r="K77" i="3"/>
  <c r="K146" i="3" s="1"/>
  <c r="J77" i="3"/>
  <c r="J146" i="3" s="1"/>
  <c r="I77" i="3"/>
  <c r="I146" i="3" s="1"/>
  <c r="H38" i="3"/>
  <c r="K37" i="3"/>
  <c r="J37" i="3"/>
  <c r="I37" i="3"/>
  <c r="E51" i="3"/>
  <c r="G51" i="3" s="1"/>
  <c r="K51" i="3"/>
  <c r="J51" i="3"/>
  <c r="H52" i="3"/>
  <c r="I156" i="3" l="1"/>
  <c r="H134" i="3"/>
  <c r="H87" i="3"/>
  <c r="H117" i="3"/>
  <c r="H95" i="3"/>
  <c r="I129" i="3"/>
  <c r="H99" i="3"/>
  <c r="J165" i="3"/>
  <c r="H147" i="3"/>
  <c r="J94" i="3"/>
  <c r="H135" i="3"/>
  <c r="K94" i="3"/>
  <c r="H113" i="3"/>
  <c r="J129" i="3"/>
  <c r="K161" i="3"/>
  <c r="K129" i="3"/>
  <c r="H165" i="3"/>
  <c r="H164" i="3"/>
  <c r="H79" i="3"/>
  <c r="I166" i="3"/>
  <c r="H166" i="3" s="1"/>
  <c r="H167" i="3"/>
  <c r="K156" i="3"/>
  <c r="H156" i="3" s="1"/>
  <c r="I94" i="3"/>
  <c r="H115" i="3"/>
  <c r="H77" i="3"/>
  <c r="H54" i="3"/>
  <c r="H107" i="3"/>
  <c r="I161" i="3"/>
  <c r="H133" i="3"/>
  <c r="H130" i="3"/>
  <c r="H163" i="3"/>
  <c r="H132" i="3"/>
  <c r="H168" i="3"/>
  <c r="H137" i="3"/>
  <c r="H111" i="3"/>
  <c r="H136" i="3"/>
  <c r="H103" i="3"/>
  <c r="H162" i="3"/>
  <c r="H131" i="3"/>
  <c r="K148" i="3"/>
  <c r="H148" i="3" s="1"/>
  <c r="H78" i="3"/>
  <c r="H146" i="3"/>
  <c r="H51" i="3"/>
  <c r="H161" i="3" l="1"/>
  <c r="J157" i="3"/>
  <c r="K157" i="3"/>
  <c r="H68" i="3"/>
  <c r="G67" i="3"/>
  <c r="I158" i="3"/>
  <c r="K158" i="3"/>
  <c r="J158" i="3"/>
  <c r="H89" i="3"/>
  <c r="H61" i="3"/>
  <c r="I157" i="3" l="1"/>
  <c r="H157" i="3" s="1"/>
  <c r="I58" i="3"/>
  <c r="H88" i="3"/>
  <c r="H158" i="3"/>
  <c r="H67" i="3"/>
  <c r="K80" i="3" l="1"/>
  <c r="K149" i="3" s="1"/>
  <c r="I80" i="3"/>
  <c r="I149" i="3" s="1"/>
  <c r="J80" i="3"/>
  <c r="H42" i="3"/>
  <c r="J149" i="3" l="1"/>
  <c r="H149" i="3" s="1"/>
  <c r="H80" i="3"/>
  <c r="J265" i="3"/>
  <c r="J261" i="3"/>
  <c r="J257" i="3"/>
  <c r="J254" i="3" s="1"/>
  <c r="I15" i="3" l="1"/>
  <c r="H15" i="3" s="1"/>
  <c r="I14" i="3"/>
  <c r="I13" i="3"/>
  <c r="G244" i="3"/>
  <c r="H403" i="3" l="1"/>
  <c r="H402" i="3"/>
  <c r="H401" i="3"/>
  <c r="G439" i="3" l="1"/>
  <c r="G59" i="3" l="1"/>
  <c r="H49" i="3"/>
  <c r="G40" i="3"/>
  <c r="I35" i="3"/>
  <c r="H31" i="3"/>
  <c r="H30" i="3"/>
  <c r="I29" i="3"/>
  <c r="H29" i="3" l="1"/>
  <c r="I12" i="3"/>
  <c r="I11" i="3" s="1"/>
  <c r="E258" i="3" l="1"/>
  <c r="E254" i="3"/>
  <c r="G291" i="3"/>
  <c r="K352" i="3" l="1"/>
  <c r="K396" i="3" s="1"/>
  <c r="J352" i="3"/>
  <c r="J396" i="3" s="1"/>
  <c r="I352" i="3"/>
  <c r="I396" i="3" s="1"/>
  <c r="K351" i="3"/>
  <c r="K395" i="3" s="1"/>
  <c r="J351" i="3"/>
  <c r="J395" i="3" s="1"/>
  <c r="I351" i="3"/>
  <c r="I395" i="3" s="1"/>
  <c r="K346" i="3"/>
  <c r="K390" i="3" s="1"/>
  <c r="J346" i="3"/>
  <c r="J390" i="3" s="1"/>
  <c r="I346" i="3"/>
  <c r="I390" i="3" s="1"/>
  <c r="K345" i="3"/>
  <c r="K389" i="3" s="1"/>
  <c r="J345" i="3"/>
  <c r="J389" i="3" s="1"/>
  <c r="I345" i="3"/>
  <c r="I389" i="3" s="1"/>
  <c r="K344" i="3"/>
  <c r="K388" i="3" s="1"/>
  <c r="J344" i="3"/>
  <c r="J388" i="3" s="1"/>
  <c r="I344" i="3"/>
  <c r="I388" i="3" s="1"/>
  <c r="K343" i="3"/>
  <c r="K387" i="3" s="1"/>
  <c r="J343" i="3"/>
  <c r="J387" i="3" s="1"/>
  <c r="I343" i="3"/>
  <c r="I387" i="3" s="1"/>
  <c r="K338" i="3"/>
  <c r="K382" i="3" s="1"/>
  <c r="J338" i="3"/>
  <c r="J382" i="3" s="1"/>
  <c r="I382" i="3"/>
  <c r="K337" i="3"/>
  <c r="K381" i="3" s="1"/>
  <c r="J337" i="3"/>
  <c r="J381" i="3" s="1"/>
  <c r="I337" i="3"/>
  <c r="I381" i="3" s="1"/>
  <c r="K336" i="3"/>
  <c r="K380" i="3" s="1"/>
  <c r="J336" i="3"/>
  <c r="J380" i="3" s="1"/>
  <c r="I336" i="3"/>
  <c r="I380" i="3" s="1"/>
  <c r="K335" i="3"/>
  <c r="K379" i="3" s="1"/>
  <c r="J335" i="3"/>
  <c r="J379" i="3" s="1"/>
  <c r="I335" i="3"/>
  <c r="I379" i="3" s="1"/>
  <c r="K275" i="3"/>
  <c r="J275" i="3"/>
  <c r="I275" i="3"/>
  <c r="H279" i="3"/>
  <c r="K332" i="3"/>
  <c r="K376" i="3" s="1"/>
  <c r="J332" i="3"/>
  <c r="J376" i="3" s="1"/>
  <c r="I376" i="3"/>
  <c r="K334" i="3"/>
  <c r="K378" i="3" s="1"/>
  <c r="J334" i="3"/>
  <c r="J378" i="3" s="1"/>
  <c r="K333" i="3"/>
  <c r="K377" i="3" s="1"/>
  <c r="J333" i="3"/>
  <c r="J377" i="3" s="1"/>
  <c r="I334" i="3"/>
  <c r="I378" i="3" s="1"/>
  <c r="I333" i="3"/>
  <c r="I377" i="3" s="1"/>
  <c r="K331" i="3"/>
  <c r="K375" i="3" s="1"/>
  <c r="J331" i="3"/>
  <c r="J375" i="3" s="1"/>
  <c r="K330" i="3"/>
  <c r="K374" i="3" s="1"/>
  <c r="J330" i="3"/>
  <c r="J374" i="3" s="1"/>
  <c r="K329" i="3"/>
  <c r="K373" i="3" s="1"/>
  <c r="J329" i="3"/>
  <c r="J373" i="3" s="1"/>
  <c r="K328" i="3"/>
  <c r="K372" i="3" s="1"/>
  <c r="J328" i="3"/>
  <c r="J372" i="3" s="1"/>
  <c r="I329" i="3"/>
  <c r="I373" i="3" s="1"/>
  <c r="I328" i="3"/>
  <c r="I372" i="3" s="1"/>
  <c r="K327" i="3"/>
  <c r="K371" i="3" s="1"/>
  <c r="J327" i="3"/>
  <c r="J371" i="3" s="1"/>
  <c r="I327" i="3"/>
  <c r="I371" i="3" s="1"/>
  <c r="K326" i="3"/>
  <c r="K370" i="3" s="1"/>
  <c r="J326" i="3"/>
  <c r="J370" i="3" s="1"/>
  <c r="I326" i="3"/>
  <c r="K325" i="3"/>
  <c r="K369" i="3" s="1"/>
  <c r="J325" i="3"/>
  <c r="K324" i="3"/>
  <c r="K368" i="3" s="1"/>
  <c r="J324" i="3"/>
  <c r="J368" i="3" s="1"/>
  <c r="I325" i="3"/>
  <c r="I369" i="3" s="1"/>
  <c r="I324" i="3"/>
  <c r="I368" i="3" s="1"/>
  <c r="K314" i="3"/>
  <c r="K358" i="3" s="1"/>
  <c r="J314" i="3"/>
  <c r="J358" i="3" s="1"/>
  <c r="K313" i="3"/>
  <c r="K357" i="3" s="1"/>
  <c r="J313" i="3"/>
  <c r="J357" i="3" s="1"/>
  <c r="I314" i="3"/>
  <c r="I358" i="3" s="1"/>
  <c r="I313" i="3"/>
  <c r="K312" i="3"/>
  <c r="J312" i="3"/>
  <c r="J356" i="3" s="1"/>
  <c r="K311" i="3"/>
  <c r="J311" i="3"/>
  <c r="I312" i="3"/>
  <c r="I311" i="3"/>
  <c r="K354" i="3"/>
  <c r="J354" i="3"/>
  <c r="I354" i="3"/>
  <c r="I119" i="3"/>
  <c r="K86" i="3"/>
  <c r="J86" i="3"/>
  <c r="I86" i="3"/>
  <c r="I155" i="3" s="1"/>
  <c r="K85" i="3"/>
  <c r="J85" i="3"/>
  <c r="I85" i="3"/>
  <c r="I154" i="3" s="1"/>
  <c r="K84" i="3"/>
  <c r="J84" i="3"/>
  <c r="I84" i="3"/>
  <c r="I153" i="3" s="1"/>
  <c r="K155" i="3" l="1"/>
  <c r="K10" i="3"/>
  <c r="K154" i="3"/>
  <c r="K9" i="3"/>
  <c r="J355" i="3"/>
  <c r="K355" i="3"/>
  <c r="I357" i="3"/>
  <c r="I356" i="3"/>
  <c r="K356" i="3"/>
  <c r="I355" i="3"/>
  <c r="J155" i="3"/>
  <c r="J154" i="3"/>
  <c r="K153" i="3"/>
  <c r="J153" i="3"/>
  <c r="I370" i="3"/>
  <c r="H326" i="3"/>
  <c r="J369" i="3"/>
  <c r="I93" i="3"/>
  <c r="H332" i="3"/>
  <c r="K76" i="3" l="1"/>
  <c r="K145" i="3" s="1"/>
  <c r="J76" i="3"/>
  <c r="J145" i="3" s="1"/>
  <c r="I76" i="3"/>
  <c r="I145" i="3" s="1"/>
  <c r="K75" i="3"/>
  <c r="K144" i="3" s="1"/>
  <c r="J75" i="3"/>
  <c r="J144" i="3" s="1"/>
  <c r="I75" i="3"/>
  <c r="I144" i="3" s="1"/>
  <c r="K74" i="3"/>
  <c r="J74" i="3"/>
  <c r="K73" i="3"/>
  <c r="J73" i="3"/>
  <c r="K72" i="3"/>
  <c r="J72" i="3"/>
  <c r="I74" i="3"/>
  <c r="I73" i="3"/>
  <c r="I72" i="3"/>
  <c r="I24" i="3"/>
  <c r="H19" i="3"/>
  <c r="K58" i="3"/>
  <c r="J58" i="3"/>
  <c r="I70" i="3" l="1"/>
  <c r="K70" i="3"/>
  <c r="J70" i="3"/>
  <c r="I141" i="3"/>
  <c r="K141" i="3"/>
  <c r="J141" i="3"/>
  <c r="K143" i="3"/>
  <c r="K140" i="3"/>
  <c r="J143" i="3"/>
  <c r="I140" i="3"/>
  <c r="I142" i="3"/>
  <c r="J142" i="3"/>
  <c r="J140" i="3"/>
  <c r="I143" i="3"/>
  <c r="K142" i="3"/>
  <c r="H273" i="3"/>
  <c r="H272" i="3"/>
  <c r="H181" i="3"/>
  <c r="H180" i="3"/>
  <c r="H253" i="3"/>
  <c r="H252" i="3"/>
  <c r="H251" i="3"/>
  <c r="H248" i="3"/>
  <c r="H247" i="3"/>
  <c r="H246" i="3"/>
  <c r="H241" i="3"/>
  <c r="H249" i="3"/>
  <c r="H244" i="3"/>
  <c r="G249" i="3"/>
  <c r="H243" i="3"/>
  <c r="H242" i="3"/>
  <c r="G239" i="3"/>
  <c r="K139" i="3" l="1"/>
  <c r="I139" i="3"/>
  <c r="J139" i="3"/>
  <c r="H50" i="3"/>
  <c r="H36" i="3"/>
  <c r="H35" i="3"/>
  <c r="H292" i="3" l="1"/>
  <c r="H291" i="3" l="1"/>
  <c r="I271" i="3"/>
  <c r="I331" i="3" s="1"/>
  <c r="I330" i="3"/>
  <c r="K262" i="3"/>
  <c r="J262" i="3"/>
  <c r="H261" i="3"/>
  <c r="H260" i="3"/>
  <c r="K258" i="3"/>
  <c r="K238" i="3" s="1"/>
  <c r="J258" i="3"/>
  <c r="J238" i="3" s="1"/>
  <c r="H235" i="3"/>
  <c r="K234" i="3"/>
  <c r="J234" i="3"/>
  <c r="I234" i="3"/>
  <c r="H233" i="3"/>
  <c r="K232" i="3"/>
  <c r="J232" i="3"/>
  <c r="I232" i="3"/>
  <c r="H231" i="3"/>
  <c r="K230" i="3"/>
  <c r="J230" i="3"/>
  <c r="I230" i="3"/>
  <c r="H229" i="3"/>
  <c r="K228" i="3"/>
  <c r="J228" i="3"/>
  <c r="I228" i="3"/>
  <c r="H221" i="3"/>
  <c r="K220" i="3"/>
  <c r="J220" i="3"/>
  <c r="I220" i="3"/>
  <c r="H217" i="3"/>
  <c r="K216" i="3"/>
  <c r="J216" i="3"/>
  <c r="I216" i="3"/>
  <c r="H215" i="3"/>
  <c r="K214" i="3"/>
  <c r="J214" i="3"/>
  <c r="I214" i="3"/>
  <c r="H209" i="3"/>
  <c r="K208" i="3"/>
  <c r="J208" i="3"/>
  <c r="I208" i="3"/>
  <c r="H179" i="3"/>
  <c r="H178" i="3"/>
  <c r="K177" i="3"/>
  <c r="J177" i="3"/>
  <c r="I177" i="3"/>
  <c r="G177" i="3"/>
  <c r="H183" i="3"/>
  <c r="K182" i="3"/>
  <c r="J182" i="3"/>
  <c r="I182" i="3"/>
  <c r="H219" i="3"/>
  <c r="K218" i="3"/>
  <c r="J218" i="3"/>
  <c r="I218" i="3"/>
  <c r="K210" i="3"/>
  <c r="J210" i="3"/>
  <c r="I375" i="3" l="1"/>
  <c r="I374" i="3"/>
  <c r="H239" i="3"/>
  <c r="H258" i="3"/>
  <c r="H177" i="3"/>
  <c r="H232" i="3"/>
  <c r="H216" i="3"/>
  <c r="H220" i="3"/>
  <c r="H228" i="3"/>
  <c r="H214" i="3"/>
  <c r="H234" i="3"/>
  <c r="H230" i="3"/>
  <c r="H208" i="3"/>
  <c r="H182" i="3"/>
  <c r="H218" i="3"/>
  <c r="H48" i="3"/>
  <c r="H46" i="3"/>
  <c r="K40" i="3"/>
  <c r="J40" i="3"/>
  <c r="H290" i="3" l="1"/>
  <c r="H289" i="3"/>
  <c r="H288" i="3"/>
  <c r="H287" i="3"/>
  <c r="K286" i="3"/>
  <c r="J286" i="3"/>
  <c r="I286" i="3"/>
  <c r="G286" i="3"/>
  <c r="H286" i="3" l="1"/>
  <c r="H128" i="3" l="1"/>
  <c r="G126" i="3"/>
  <c r="H125" i="3"/>
  <c r="G123" i="3"/>
  <c r="H122" i="3"/>
  <c r="G120" i="3"/>
  <c r="J119" i="3" l="1"/>
  <c r="K119" i="3"/>
  <c r="H120" i="3"/>
  <c r="H126" i="3"/>
  <c r="H123" i="3"/>
  <c r="H119" i="3" l="1"/>
  <c r="K24" i="3" l="1"/>
  <c r="J24" i="3"/>
  <c r="J32" i="3" l="1"/>
  <c r="J18" i="3" s="1"/>
  <c r="I32" i="3"/>
  <c r="I18" i="3" s="1"/>
  <c r="G174" i="3" l="1"/>
  <c r="H44" i="3" l="1"/>
  <c r="H41" i="3"/>
  <c r="H40" i="3" l="1"/>
  <c r="H278" i="3" l="1"/>
  <c r="G269" i="3" l="1"/>
  <c r="I174" i="3" l="1"/>
  <c r="I210" i="3"/>
  <c r="H210" i="3" s="1"/>
  <c r="I212" i="3"/>
  <c r="I222" i="3"/>
  <c r="I224" i="3"/>
  <c r="I226" i="3"/>
  <c r="I236" i="3"/>
  <c r="J174" i="3"/>
  <c r="J212" i="3"/>
  <c r="K174" i="3"/>
  <c r="K212" i="3"/>
  <c r="J222" i="3"/>
  <c r="K222" i="3"/>
  <c r="J224" i="3"/>
  <c r="K224" i="3"/>
  <c r="J226" i="3"/>
  <c r="K226" i="3"/>
  <c r="J236" i="3"/>
  <c r="K236" i="3"/>
  <c r="H237" i="3"/>
  <c r="K407" i="3"/>
  <c r="K427" i="3" s="1"/>
  <c r="K425" i="3"/>
  <c r="K434" i="3" s="1"/>
  <c r="K444" i="3"/>
  <c r="K447" i="3" s="1"/>
  <c r="K408" i="3"/>
  <c r="K428" i="3" s="1"/>
  <c r="K424" i="3"/>
  <c r="J407" i="3"/>
  <c r="J427" i="3" s="1"/>
  <c r="J425" i="3"/>
  <c r="J434" i="3" s="1"/>
  <c r="J444" i="3"/>
  <c r="J447" i="3" s="1"/>
  <c r="J408" i="3"/>
  <c r="J428" i="3" s="1"/>
  <c r="J424" i="3"/>
  <c r="I407" i="3"/>
  <c r="I425" i="3"/>
  <c r="I444" i="3"/>
  <c r="I447" i="3" s="1"/>
  <c r="I408" i="3"/>
  <c r="I428" i="3" s="1"/>
  <c r="I424" i="3"/>
  <c r="K422" i="3"/>
  <c r="K443" i="3"/>
  <c r="K446" i="3" s="1"/>
  <c r="K423" i="3"/>
  <c r="K432" i="3" s="1"/>
  <c r="J422" i="3"/>
  <c r="J443" i="3"/>
  <c r="J446" i="3" s="1"/>
  <c r="J423" i="3"/>
  <c r="J432" i="3" s="1"/>
  <c r="I422" i="3"/>
  <c r="I443" i="3"/>
  <c r="I446" i="3" s="1"/>
  <c r="I423" i="3"/>
  <c r="I432" i="3" s="1"/>
  <c r="K409" i="3"/>
  <c r="J409" i="3"/>
  <c r="I280" i="3"/>
  <c r="I274" i="3" s="1"/>
  <c r="I269" i="3"/>
  <c r="I268" i="3" s="1"/>
  <c r="J280" i="3"/>
  <c r="J274" i="3" s="1"/>
  <c r="J269" i="3"/>
  <c r="J268" i="3" s="1"/>
  <c r="K280" i="3"/>
  <c r="K274" i="3" s="1"/>
  <c r="K269" i="3"/>
  <c r="K268" i="3" s="1"/>
  <c r="J300" i="3"/>
  <c r="K300" i="3"/>
  <c r="I409" i="3"/>
  <c r="I400" i="3"/>
  <c r="I399" i="3" s="1"/>
  <c r="H399" i="3" s="1"/>
  <c r="K93" i="3"/>
  <c r="J93" i="3"/>
  <c r="K32" i="3"/>
  <c r="K18" i="3" s="1"/>
  <c r="H34" i="3"/>
  <c r="H33" i="3"/>
  <c r="H227" i="3"/>
  <c r="H225" i="3"/>
  <c r="H223" i="3"/>
  <c r="H106" i="3"/>
  <c r="H105" i="3"/>
  <c r="G103" i="3"/>
  <c r="H110" i="3"/>
  <c r="H109" i="3"/>
  <c r="H66" i="3"/>
  <c r="H65" i="3"/>
  <c r="H64" i="3"/>
  <c r="H420" i="3"/>
  <c r="H419" i="3"/>
  <c r="K418" i="3"/>
  <c r="K415" i="3"/>
  <c r="J418" i="3"/>
  <c r="I418" i="3"/>
  <c r="G418" i="3"/>
  <c r="H417" i="3"/>
  <c r="H416" i="3"/>
  <c r="J415" i="3"/>
  <c r="I415" i="3"/>
  <c r="G415" i="3"/>
  <c r="J400" i="3"/>
  <c r="J399" i="3" s="1"/>
  <c r="K400" i="3"/>
  <c r="K399" i="3" s="1"/>
  <c r="H211" i="3"/>
  <c r="G37" i="3"/>
  <c r="H39" i="3"/>
  <c r="H275" i="3"/>
  <c r="G32" i="3"/>
  <c r="G24" i="3"/>
  <c r="G19" i="3"/>
  <c r="G275" i="3"/>
  <c r="K439" i="3"/>
  <c r="K437" i="3" s="1"/>
  <c r="J439" i="3"/>
  <c r="I439" i="3"/>
  <c r="I437" i="3" s="1"/>
  <c r="H441" i="3"/>
  <c r="H440" i="3"/>
  <c r="G400" i="3"/>
  <c r="H12" i="3"/>
  <c r="H28" i="3"/>
  <c r="H14" i="3"/>
  <c r="H13" i="3"/>
  <c r="H276" i="3"/>
  <c r="H285" i="3"/>
  <c r="H305" i="3"/>
  <c r="H304" i="3"/>
  <c r="H271" i="3"/>
  <c r="H270" i="3"/>
  <c r="H284" i="3"/>
  <c r="H282" i="3"/>
  <c r="H281" i="3"/>
  <c r="G280" i="3"/>
  <c r="H256" i="3"/>
  <c r="H213" i="3"/>
  <c r="H176" i="3"/>
  <c r="H97" i="3"/>
  <c r="H101" i="3"/>
  <c r="H23" i="3"/>
  <c r="H27" i="3"/>
  <c r="H26" i="3"/>
  <c r="H25" i="3"/>
  <c r="H22" i="3"/>
  <c r="G95" i="3"/>
  <c r="H98" i="3"/>
  <c r="G99" i="3"/>
  <c r="H102" i="3"/>
  <c r="H175" i="3"/>
  <c r="H257" i="3"/>
  <c r="H264" i="3"/>
  <c r="H265" i="3"/>
  <c r="I406" i="3" l="1"/>
  <c r="K173" i="3"/>
  <c r="K172" i="3" s="1"/>
  <c r="I173" i="3"/>
  <c r="I172" i="3" s="1"/>
  <c r="J173" i="3"/>
  <c r="J172" i="3" s="1"/>
  <c r="H129" i="3"/>
  <c r="I429" i="3"/>
  <c r="K431" i="3"/>
  <c r="J429" i="3"/>
  <c r="I433" i="3"/>
  <c r="K429" i="3"/>
  <c r="K433" i="3"/>
  <c r="J267" i="3"/>
  <c r="J266" i="3" s="1"/>
  <c r="K57" i="3"/>
  <c r="K56" i="3" s="1"/>
  <c r="J57" i="3"/>
  <c r="J56" i="3" s="1"/>
  <c r="H59" i="3"/>
  <c r="J433" i="3"/>
  <c r="J431" i="3"/>
  <c r="I431" i="3"/>
  <c r="I427" i="3"/>
  <c r="H427" i="3" s="1"/>
  <c r="I267" i="3"/>
  <c r="I266" i="3" s="1"/>
  <c r="K406" i="3"/>
  <c r="I442" i="3"/>
  <c r="H311" i="3"/>
  <c r="H337" i="3"/>
  <c r="H254" i="3"/>
  <c r="H344" i="3"/>
  <c r="H444" i="3"/>
  <c r="H387" i="3"/>
  <c r="H408" i="3"/>
  <c r="H346" i="3"/>
  <c r="J421" i="3"/>
  <c r="H352" i="3"/>
  <c r="H338" i="3"/>
  <c r="H327" i="3"/>
  <c r="H343" i="3"/>
  <c r="H314" i="3"/>
  <c r="H371" i="3"/>
  <c r="H422" i="3"/>
  <c r="H351" i="3"/>
  <c r="H226" i="3"/>
  <c r="H262" i="3"/>
  <c r="H425" i="3"/>
  <c r="H407" i="3"/>
  <c r="H37" i="3"/>
  <c r="J406" i="3"/>
  <c r="H424" i="3"/>
  <c r="H409" i="3"/>
  <c r="H368" i="3"/>
  <c r="H390" i="3"/>
  <c r="H331" i="3"/>
  <c r="K421" i="3"/>
  <c r="I300" i="3"/>
  <c r="H300" i="3" s="1"/>
  <c r="H73" i="3"/>
  <c r="H447" i="3"/>
  <c r="H379" i="3"/>
  <c r="H212" i="3"/>
  <c r="H71" i="3"/>
  <c r="H381" i="3"/>
  <c r="H140" i="3"/>
  <c r="H388" i="3"/>
  <c r="I434" i="3"/>
  <c r="H434" i="3" s="1"/>
  <c r="H345" i="3"/>
  <c r="H324" i="3"/>
  <c r="H224" i="3"/>
  <c r="H334" i="3"/>
  <c r="H428" i="3"/>
  <c r="H395" i="3"/>
  <c r="H174" i="3"/>
  <c r="H423" i="3"/>
  <c r="H336" i="3"/>
  <c r="H377" i="3"/>
  <c r="H380" i="3"/>
  <c r="H280" i="3"/>
  <c r="H432" i="3"/>
  <c r="H312" i="3"/>
  <c r="H330" i="3"/>
  <c r="H369" i="3"/>
  <c r="H310" i="3"/>
  <c r="H443" i="3"/>
  <c r="K442" i="3"/>
  <c r="H74" i="3"/>
  <c r="H268" i="3"/>
  <c r="I445" i="3"/>
  <c r="J442" i="3"/>
  <c r="H333" i="3"/>
  <c r="I421" i="3"/>
  <c r="H382" i="3"/>
  <c r="H222" i="3"/>
  <c r="H76" i="3"/>
  <c r="H75" i="3"/>
  <c r="H85" i="3"/>
  <c r="K309" i="3"/>
  <c r="J309" i="3"/>
  <c r="H374" i="3"/>
  <c r="H370" i="3"/>
  <c r="H325" i="3"/>
  <c r="H154" i="3"/>
  <c r="H313" i="3"/>
  <c r="H378" i="3"/>
  <c r="H446" i="3"/>
  <c r="I57" i="3"/>
  <c r="H372" i="3"/>
  <c r="H354" i="3"/>
  <c r="H356" i="3"/>
  <c r="H358" i="3"/>
  <c r="H396" i="3"/>
  <c r="J414" i="3"/>
  <c r="J413" i="3" s="1"/>
  <c r="J412" i="3" s="1"/>
  <c r="J437" i="3"/>
  <c r="H437" i="3" s="1"/>
  <c r="H439" i="3"/>
  <c r="H389" i="3"/>
  <c r="H357" i="3"/>
  <c r="H418" i="3"/>
  <c r="H269" i="3"/>
  <c r="H355" i="3"/>
  <c r="H375" i="3"/>
  <c r="H11" i="3"/>
  <c r="H335" i="3"/>
  <c r="H400" i="3"/>
  <c r="H415" i="3"/>
  <c r="H32" i="3"/>
  <c r="H328" i="3"/>
  <c r="H373" i="3"/>
  <c r="K414" i="3"/>
  <c r="K413" i="3" s="1"/>
  <c r="K412" i="3" s="1"/>
  <c r="H84" i="3"/>
  <c r="H329" i="3"/>
  <c r="K445" i="3"/>
  <c r="H302" i="3"/>
  <c r="H143" i="3"/>
  <c r="H236" i="3"/>
  <c r="H153" i="3"/>
  <c r="H72" i="3"/>
  <c r="H24" i="3"/>
  <c r="H155" i="3"/>
  <c r="H142" i="3"/>
  <c r="I414" i="3"/>
  <c r="J445" i="3"/>
  <c r="H86" i="3"/>
  <c r="K426" i="3" l="1"/>
  <c r="H429" i="3"/>
  <c r="H433" i="3"/>
  <c r="J426" i="3"/>
  <c r="H431" i="3"/>
  <c r="H58" i="3"/>
  <c r="H18" i="3"/>
  <c r="H442" i="3"/>
  <c r="H145" i="3"/>
  <c r="H144" i="3"/>
  <c r="H93" i="3"/>
  <c r="H421" i="3"/>
  <c r="H301" i="3"/>
  <c r="H173" i="3"/>
  <c r="K353" i="3"/>
  <c r="H406" i="3"/>
  <c r="H376" i="3"/>
  <c r="I426" i="3"/>
  <c r="I353" i="3"/>
  <c r="H238" i="3"/>
  <c r="H94" i="3"/>
  <c r="H445" i="3"/>
  <c r="J353" i="3"/>
  <c r="J7" i="3"/>
  <c r="K267" i="3"/>
  <c r="H274" i="3"/>
  <c r="I56" i="3"/>
  <c r="H56" i="3" s="1"/>
  <c r="H57" i="3"/>
  <c r="K7" i="3"/>
  <c r="I7" i="3"/>
  <c r="H8" i="3"/>
  <c r="H141" i="3"/>
  <c r="H9" i="3"/>
  <c r="I413" i="3"/>
  <c r="H414" i="3"/>
  <c r="H10" i="3"/>
  <c r="H139" i="3" l="1"/>
  <c r="H70" i="3"/>
  <c r="H7" i="3"/>
  <c r="H426" i="3"/>
  <c r="H172" i="3"/>
  <c r="H309" i="3" s="1"/>
  <c r="K266" i="3"/>
  <c r="H266" i="3" s="1"/>
  <c r="H267" i="3"/>
  <c r="I412" i="3"/>
  <c r="H412" i="3" s="1"/>
  <c r="H413" i="3"/>
  <c r="H353" i="3" l="1"/>
</calcChain>
</file>

<file path=xl/sharedStrings.xml><?xml version="1.0" encoding="utf-8"?>
<sst xmlns="http://schemas.openxmlformats.org/spreadsheetml/2006/main" count="995" uniqueCount="452">
  <si>
    <t>Строительство объекта "Автодорога по ул. Ильи Иванова в Советском районе               г. Брянска"</t>
  </si>
  <si>
    <t xml:space="preserve">L= 150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</si>
  <si>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</si>
  <si>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 xml:space="preserve">L= 40 м </t>
  </si>
  <si>
    <t>982215001006</t>
  </si>
  <si>
    <t>982215001007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</si>
  <si>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</si>
  <si>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</si>
  <si>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</si>
  <si>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</si>
  <si>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</si>
  <si>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</si>
  <si>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</si>
  <si>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</si>
  <si>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</si>
  <si>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</si>
  <si>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</si>
  <si>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</si>
  <si>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</si>
  <si>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</si>
  <si>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</si>
  <si>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</si>
  <si>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</si>
  <si>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</si>
  <si>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</si>
  <si>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</si>
  <si>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</si>
  <si>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</si>
  <si>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</si>
  <si>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</si>
  <si>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</si>
  <si>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</si>
  <si>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</si>
  <si>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</si>
  <si>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</si>
  <si>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</si>
  <si>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</si>
  <si>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</si>
  <si>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</si>
  <si>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</si>
  <si>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</si>
  <si>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4,601 км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</si>
  <si>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</si>
  <si>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</si>
  <si>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</si>
  <si>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</si>
  <si>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</si>
  <si>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</si>
  <si>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</si>
  <si>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</si>
  <si>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</si>
  <si>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</si>
  <si>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</si>
  <si>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</si>
  <si>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</si>
  <si>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</si>
  <si>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</si>
  <si>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</si>
  <si>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</si>
  <si>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</si>
  <si>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</si>
  <si>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</si>
  <si>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</si>
  <si>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</si>
  <si>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</si>
  <si>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</si>
  <si>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</si>
  <si>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</si>
  <si>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</si>
  <si>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</si>
  <si>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</si>
  <si>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</si>
  <si>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</si>
  <si>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</si>
  <si>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</si>
  <si>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</si>
  <si>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</si>
  <si>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</si>
  <si>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</si>
  <si>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</si>
  <si>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</si>
  <si>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</si>
  <si>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</si>
  <si>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</si>
  <si>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</si>
  <si>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</si>
  <si>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2,39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</si>
  <si>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</si>
  <si>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</si>
  <si>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</si>
  <si>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</si>
  <si>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</si>
  <si>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</si>
  <si>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</si>
  <si>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</si>
  <si>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</si>
  <si>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</si>
  <si>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</si>
  <si>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</si>
  <si>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</si>
  <si>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</si>
  <si>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</si>
  <si>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</si>
  <si>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Заместитель Главы городской администрации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</si>
  <si>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</si>
  <si>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</si>
  <si>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</si>
  <si>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</si>
  <si>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</si>
  <si>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</si>
  <si>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</si>
  <si>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</si>
  <si>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</si>
  <si>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</si>
  <si>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</si>
  <si>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</si>
  <si>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</si>
  <si>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</si>
  <si>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</si>
  <si>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</si>
  <si>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</si>
  <si>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</si>
  <si>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</si>
  <si>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</si>
  <si>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</si>
  <si>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</si>
  <si>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</si>
  <si>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</si>
  <si>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</si>
  <si>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</si>
  <si>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</si>
  <si>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</si>
  <si>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</si>
  <si>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</si>
  <si>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</si>
  <si>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</si>
  <si>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</si>
  <si>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</si>
  <si>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</si>
  <si>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</si>
  <si>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</si>
  <si>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</si>
  <si>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</si>
  <si>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</si>
  <si>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</si>
  <si>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</si>
  <si>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</si>
  <si>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</si>
  <si>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</si>
  <si>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</si>
  <si>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</si>
  <si>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</si>
  <si>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</si>
  <si>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</si>
  <si>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</si>
  <si>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</si>
  <si>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 xml:space="preserve">L=1000 м,                      Д=500 мм </t>
  </si>
  <si>
    <t>Водовод от технологического комплекса "Трубчевский" до ул. Вали Сафроновой д=500мм</t>
  </si>
  <si>
    <t xml:space="preserve">L=5200 м,                      Д=500 мм </t>
  </si>
  <si>
    <t>Водовод в п. Чайковичи Бежицкого района д=300мм</t>
  </si>
  <si>
    <t xml:space="preserve">L=3000 м,                      Д=300 мм </t>
  </si>
  <si>
    <t>Строительство школы на 1650 мест в районе бывшего аэропорта в Советском районе г. Брянска</t>
  </si>
  <si>
    <t>1650 мест</t>
  </si>
  <si>
    <t>2025 год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</si>
  <si>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10К8006 414</t>
    </r>
  </si>
  <si>
    <t>20.ED.019           Гор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</si>
  <si>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0702 054 1098006 414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</si>
  <si>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</si>
  <si>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</si>
  <si>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</si>
  <si>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t xml:space="preserve">20.ED.019          </t>
  </si>
  <si>
    <t xml:space="preserve">20.ED.019           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</si>
  <si>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</si>
  <si>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</si>
  <si>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</si>
  <si>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</si>
  <si>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</si>
  <si>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</si>
  <si>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</si>
  <si>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</si>
  <si>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</si>
  <si>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</si>
  <si>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</si>
  <si>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</si>
  <si>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</si>
  <si>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</si>
  <si>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</si>
  <si>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Реконструкция здания МБОУ СОШ №13 имени Героя Советского Союза                                                     И.Б. Катунина  г. Брянска со строительством пристройки </t>
  </si>
  <si>
    <t>300 мест</t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</si>
  <si>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</si>
  <si>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</si>
  <si>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</si>
  <si>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</si>
  <si>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</si>
  <si>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</si>
  <si>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</si>
  <si>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</si>
  <si>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</si>
  <si>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</si>
  <si>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</si>
  <si>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</si>
  <si>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</si>
  <si>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</si>
  <si>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</si>
  <si>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</si>
  <si>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</si>
  <si>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</si>
  <si>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</si>
  <si>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</si>
  <si>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</si>
  <si>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</si>
  <si>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</si>
  <si>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</si>
  <si>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</si>
  <si>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</si>
  <si>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</si>
  <si>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</si>
  <si>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</si>
  <si>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</si>
  <si>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</si>
  <si>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</si>
  <si>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</si>
  <si>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</si>
  <si>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</si>
  <si>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</si>
  <si>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</si>
  <si>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</si>
  <si>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</si>
  <si>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</si>
  <si>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</si>
  <si>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</si>
  <si>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</si>
  <si>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</si>
  <si>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</si>
  <si>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</si>
  <si>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</si>
  <si>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</si>
  <si>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</si>
  <si>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ориентировочно  252 524 232,52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</si>
  <si>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</si>
  <si>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</si>
  <si>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</si>
  <si>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</si>
  <si>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</si>
  <si>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</si>
  <si>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</si>
  <si>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</si>
  <si>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</si>
  <si>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</si>
  <si>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</si>
  <si>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</si>
  <si>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</si>
  <si>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</si>
  <si>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</si>
  <si>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</si>
  <si>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</si>
  <si>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</si>
  <si>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</si>
  <si>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</si>
  <si>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982215001001                            Гор 19.RS.056</t>
  </si>
  <si>
    <t>982215001001                           Обл 19.RS.056</t>
  </si>
  <si>
    <t xml:space="preserve">982215001001                        </t>
  </si>
  <si>
    <t>982215001001</t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</si>
  <si>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</si>
  <si>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</si>
  <si>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</si>
  <si>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</si>
  <si>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</si>
  <si>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</si>
  <si>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</si>
  <si>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</si>
  <si>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</si>
  <si>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</si>
  <si>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</si>
  <si>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</si>
  <si>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23-53940-00000-0000                                Фед 19.IN.010</t>
  </si>
  <si>
    <t>23-53940-00000-0000                                  Обл 19.IN.010</t>
  </si>
  <si>
    <t>23-53940-00000-0000                         Гор 19.IN.010</t>
  </si>
  <si>
    <t xml:space="preserve">23-53940-00000-0000                        </t>
  </si>
  <si>
    <t xml:space="preserve">23-53940-00000-0000                                </t>
  </si>
  <si>
    <t xml:space="preserve">23-53940-00000-0000                               </t>
  </si>
  <si>
    <t xml:space="preserve">23-53940-00000-0000                    </t>
  </si>
  <si>
    <t xml:space="preserve">23-53940-00000-0000                                  </t>
  </si>
  <si>
    <t>19.IN.010                                Гор 19.IN.010</t>
  </si>
  <si>
    <t xml:space="preserve">19.IN.010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</si>
  <si>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</si>
  <si>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</si>
  <si>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Строительство улично-дорожной сети в микрорайоне по  ул. Флотской в Бежицком районе города Брянска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</si>
  <si>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</si>
  <si>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</si>
  <si>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</si>
  <si>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</si>
  <si>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</si>
  <si>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</si>
  <si>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</si>
  <si>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</si>
  <si>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</si>
  <si>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</si>
  <si>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</si>
  <si>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</si>
  <si>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</si>
  <si>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</si>
  <si>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</si>
  <si>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</si>
  <si>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</si>
  <si>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</si>
  <si>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3,708 км 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</si>
  <si>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</si>
  <si>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</si>
  <si>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</si>
  <si>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</si>
  <si>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</si>
  <si>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</si>
  <si>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</si>
  <si>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</si>
  <si>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</si>
  <si>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</si>
  <si>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</si>
  <si>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</si>
  <si>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</si>
  <si>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</si>
  <si>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</si>
  <si>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</si>
  <si>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</si>
  <si>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</si>
  <si>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</si>
  <si>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</si>
  <si>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</si>
  <si>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</si>
  <si>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</si>
  <si>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</si>
  <si>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 xml:space="preserve">L= 100 м 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</si>
  <si>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</si>
  <si>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</si>
  <si>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</si>
  <si>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</si>
  <si>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</si>
  <si>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</si>
  <si>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</si>
  <si>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>19.ЕN.028                          Гор 19.ЕN.028</t>
  </si>
  <si>
    <t>19.ЕN.028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</si>
  <si>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</si>
  <si>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</si>
  <si>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</si>
  <si>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</si>
  <si>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</si>
  <si>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</si>
  <si>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0502 084 0783460 466  </t>
    </r>
    <r>
      <rPr>
        <i/>
        <sz val="10"/>
        <rFont val="Times New Roman"/>
        <family val="1"/>
        <charset val="204"/>
      </rPr>
      <t xml:space="preserve">                          </t>
    </r>
  </si>
  <si>
    <t>5300     СО1530</t>
  </si>
  <si>
    <t>5300      РО2530</t>
  </si>
  <si>
    <t>5300     СО3530</t>
  </si>
  <si>
    <t xml:space="preserve">5300     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</si>
  <si>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</si>
  <si>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</si>
  <si>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</si>
  <si>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</si>
  <si>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</si>
  <si>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</si>
  <si>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</si>
  <si>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</si>
  <si>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</si>
  <si>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</si>
  <si>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</si>
  <si>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>ориентировочно 33 000 000,00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</si>
  <si>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</si>
  <si>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</si>
  <si>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</si>
  <si>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</si>
  <si>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>ориентировочно  29 000 000,00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</si>
  <si>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</si>
  <si>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</si>
  <si>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</si>
  <si>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</si>
  <si>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</si>
  <si>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</si>
  <si>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2023 год   проект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</si>
  <si>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</si>
  <si>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</si>
  <si>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</si>
  <si>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</si>
  <si>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</si>
  <si>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</si>
  <si>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</si>
  <si>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</si>
  <si>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</si>
  <si>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</si>
  <si>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</si>
  <si>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</si>
  <si>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</si>
  <si>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12.WS.188                 Гор.12.WS.188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</si>
  <si>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</si>
  <si>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</si>
  <si>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</si>
  <si>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</si>
  <si>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</si>
  <si>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</si>
  <si>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 xml:space="preserve">2023 год      </t>
  </si>
  <si>
    <t>19.EN.041                 Гор.19.EN.041</t>
  </si>
  <si>
    <t>Канализационная сеть по ул.Кутузова, пер. О.Кошевого, Фокинский район, г.Брянск</t>
  </si>
  <si>
    <t>300 п.м</t>
  </si>
  <si>
    <t>19.EN.039                 Гор.19.EN.039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</si>
  <si>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</si>
  <si>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</si>
  <si>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t xml:space="preserve">19.EN.027                </t>
  </si>
  <si>
    <t xml:space="preserve">19.WS.076   </t>
  </si>
  <si>
    <t xml:space="preserve">19.WS.112              </t>
  </si>
  <si>
    <t xml:space="preserve">19.EN.041                </t>
  </si>
  <si>
    <t xml:space="preserve">19.EN.039                </t>
  </si>
  <si>
    <t xml:space="preserve">12.WS.185                 </t>
  </si>
  <si>
    <t xml:space="preserve">12.WS.188                 </t>
  </si>
  <si>
    <t xml:space="preserve">12.WS.190         </t>
  </si>
  <si>
    <t>20.ED.015                 Гор.20.ED.015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</si>
  <si>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</si>
  <si>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</si>
  <si>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</si>
  <si>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3562,0 м2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</si>
  <si>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</si>
  <si>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15.СL.011                                                   Гор 15.СL.011</t>
  </si>
  <si>
    <t>20.ED.018                              Гор.20.ED.018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</si>
  <si>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</si>
  <si>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Гор.16.ED.053</t>
  </si>
  <si>
    <t xml:space="preserve">20.ED.015                </t>
  </si>
  <si>
    <t xml:space="preserve">20.ED.018                             </t>
  </si>
  <si>
    <t xml:space="preserve">16.ED.053                              </t>
  </si>
  <si>
    <t xml:space="preserve">15.СL.011                    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</si>
  <si>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</si>
  <si>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</si>
  <si>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</si>
  <si>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</si>
  <si>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</si>
  <si>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32 991 840,00</t>
  </si>
  <si>
    <t>ориентировочно  28 985 000,00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</si>
  <si>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</si>
  <si>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</si>
  <si>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</si>
  <si>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</si>
  <si>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</si>
  <si>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</si>
  <si>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982215001006        Гор 37.IN.007</t>
  </si>
  <si>
    <t>982215001006        Обл 37.IN.007</t>
  </si>
  <si>
    <t>982215001007   Гор 37.IN.008</t>
  </si>
  <si>
    <t>982215001007        Обл 37.IN.008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</si>
  <si>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</si>
  <si>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</si>
  <si>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</si>
  <si>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</si>
  <si>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>И.о. начальника Управления по строительству и развитию территории города Брянска</t>
  </si>
  <si>
    <t>П.Н. Кулагин</t>
  </si>
  <si>
    <t>Водозаборное сооружение на территории технологического комплекса "Центральный" по адресу:                        г. Брянск, Советский район, ул. Грибоедова</t>
  </si>
  <si>
    <t>Водозаборное сооружение на территории технологического комплекса "Деповский" по адресу:                          г. Брянск, Володарский район, ул. Мичурина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</si>
  <si>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</si>
  <si>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06.03.2023  № 736-п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</si>
</sst>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5" fontId="25" fillId="0" borderId="0"/>
  </cellStyleXfs>
  <cellXfs count="435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22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49" fontId="23" fillId="0" borderId="7" xfId="0" applyNumberFormat="1" applyFont="1" applyBorder="1" applyAlignment="1">
      <alignment horizontal="left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23" fillId="5" borderId="2" xfId="0" applyFont="1" applyFill="1" applyBorder="1" applyAlignment="1">
      <alignment horizontal="center" vertical="top"/>
    </xf>
    <xf numFmtId="4" fontId="23" fillId="5" borderId="2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23" fillId="5" borderId="7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23" fillId="5" borderId="2" xfId="0" applyNumberFormat="1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23" fillId="5" borderId="7" xfId="0" applyFont="1" applyFill="1" applyBorder="1" applyAlignment="1">
      <alignment horizontal="center" vertical="top" wrapText="1"/>
    </xf>
    <xf numFmtId="4" fontId="23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0" fontId="8" fillId="0" borderId="1" xfId="0" applyFont="1" applyBorder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26" fillId="0" borderId="8" xfId="0" applyFont="1" applyBorder="1" applyAlignment="1">
      <alignment vertical="top" wrapText="1"/>
    </xf>
    <xf numFmtId="49" fontId="4" fillId="5" borderId="7" xfId="0" applyNumberFormat="1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4" fontId="4" fillId="0" borderId="21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 vertical="top"/>
    </xf>
    <xf numFmtId="0" fontId="5" fillId="2" borderId="17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vertical="center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6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33.28515625" customWidth="1"/>
  </cols>
  <sheetData>
    <row r="1" spans="1:14" ht="54" customHeight="1" x14ac:dyDescent="0.2">
      <c r="G1" s="416" t="s">
        <v>451</v>
      </c>
      <c r="H1" s="416"/>
      <c r="I1" s="416"/>
      <c r="J1" s="416"/>
      <c r="K1" s="416"/>
    </row>
    <row r="2" spans="1:14" ht="51" customHeight="1" x14ac:dyDescent="0.2">
      <c r="G2" s="416" t="s">
        <v>427</v>
      </c>
      <c r="H2" s="416"/>
      <c r="I2" s="416"/>
      <c r="J2" s="416"/>
      <c r="K2" s="416"/>
    </row>
    <row r="3" spans="1:14" ht="15.75" x14ac:dyDescent="0.25">
      <c r="A3" s="429" t="s">
        <v>109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1"/>
    </row>
    <row r="4" spans="1:14" ht="42.75" customHeight="1" thickBot="1" x14ac:dyDescent="0.25">
      <c r="A4" s="97"/>
      <c r="B4" s="431" t="s">
        <v>174</v>
      </c>
      <c r="C4" s="431"/>
      <c r="D4" s="431"/>
      <c r="E4" s="431"/>
      <c r="F4" s="431"/>
      <c r="G4" s="431"/>
      <c r="H4" s="431"/>
      <c r="I4" s="431"/>
      <c r="J4" s="97"/>
      <c r="K4" s="97"/>
      <c r="L4" s="1"/>
    </row>
    <row r="5" spans="1:14" ht="24.75" customHeight="1" thickBot="1" x14ac:dyDescent="0.25">
      <c r="A5" s="432" t="s">
        <v>133</v>
      </c>
      <c r="B5" s="421" t="s">
        <v>134</v>
      </c>
      <c r="C5" s="421" t="s">
        <v>104</v>
      </c>
      <c r="D5" s="421" t="s">
        <v>111</v>
      </c>
      <c r="E5" s="421" t="s">
        <v>110</v>
      </c>
      <c r="F5" s="421" t="s">
        <v>172</v>
      </c>
      <c r="G5" s="430" t="s">
        <v>173</v>
      </c>
      <c r="H5" s="430" t="s">
        <v>130</v>
      </c>
      <c r="I5" s="421" t="s">
        <v>108</v>
      </c>
      <c r="J5" s="421"/>
      <c r="K5" s="421"/>
      <c r="L5" s="2"/>
      <c r="M5" s="2"/>
      <c r="N5" s="2"/>
    </row>
    <row r="6" spans="1:14" ht="170.25" customHeight="1" thickBot="1" x14ac:dyDescent="0.25">
      <c r="A6" s="433"/>
      <c r="B6" s="421"/>
      <c r="C6" s="421"/>
      <c r="D6" s="421"/>
      <c r="E6" s="421"/>
      <c r="F6" s="421"/>
      <c r="G6" s="430"/>
      <c r="H6" s="430"/>
      <c r="I6" s="342" t="s">
        <v>128</v>
      </c>
      <c r="J6" s="342" t="s">
        <v>102</v>
      </c>
      <c r="K6" s="342" t="s">
        <v>163</v>
      </c>
      <c r="L6" s="64"/>
      <c r="M6" s="116"/>
      <c r="N6" s="65"/>
    </row>
    <row r="7" spans="1:14" ht="27" customHeight="1" thickBot="1" x14ac:dyDescent="0.25">
      <c r="A7" s="72" t="s">
        <v>117</v>
      </c>
      <c r="B7" s="73"/>
      <c r="C7" s="73"/>
      <c r="D7" s="73"/>
      <c r="E7" s="74"/>
      <c r="F7" s="74"/>
      <c r="G7" s="74"/>
      <c r="H7" s="67">
        <f>H8+H9+H10</f>
        <v>7128394372.8199997</v>
      </c>
      <c r="I7" s="67">
        <f>SUM(I8:I10)</f>
        <v>3045089903.0600004</v>
      </c>
      <c r="J7" s="67">
        <f>SUM(J8:J10)</f>
        <v>2965070406.9400001</v>
      </c>
      <c r="K7" s="67">
        <f>SUM(K8:K10)</f>
        <v>1118234062.8200002</v>
      </c>
      <c r="L7" s="66"/>
      <c r="M7" s="2"/>
      <c r="N7" s="2"/>
    </row>
    <row r="8" spans="1:14" ht="18" customHeight="1" x14ac:dyDescent="0.2">
      <c r="A8" s="167" t="s">
        <v>115</v>
      </c>
      <c r="B8" s="168"/>
      <c r="C8" s="168"/>
      <c r="D8" s="168"/>
      <c r="E8" s="169"/>
      <c r="F8" s="169"/>
      <c r="G8" s="169"/>
      <c r="H8" s="33">
        <f>I8+J8+K8</f>
        <v>240449379.58000004</v>
      </c>
      <c r="I8" s="33">
        <f>I71+I72+I75+I84+I310+I311+I313+I324+I326+I328+I330+I332+I333+I336+I343+I344+I351+I422+I423+I443+I80+I89+I88+I77+I78+I87+I79+I131+I135+I136+I137+I132+I130+I133+I134+I138+I320+I348+I349+I315+I316+I317+I318+I319+I321+I322+I323+I342+I350+I339+I340+I341+I347+I410+I81</f>
        <v>149350540.07000005</v>
      </c>
      <c r="J8" s="33">
        <f t="shared" ref="J8:K8" si="0">J71+J72+J75+J84+J310+J311+J313+J324+J326+J328+J330+J332+J333+J336+J343+J344+J351+J422+J423+J443+J80+J89+J88+J77+J78+J87+J79+J131+J135+J136+J137+J132+J130+J133+J134+J138+J320+J348+J349+J315+J316+J317+J318+J319+J321+J322+J323+J342+J350+J339+J340+J341+J347+J410+J81</f>
        <v>72255964.690000013</v>
      </c>
      <c r="K8" s="33">
        <f t="shared" si="0"/>
        <v>18842874.82</v>
      </c>
      <c r="L8" s="105"/>
      <c r="M8" s="2"/>
      <c r="N8" s="2"/>
    </row>
    <row r="9" spans="1:14" ht="18.75" customHeight="1" x14ac:dyDescent="0.2">
      <c r="A9" s="170" t="s">
        <v>116</v>
      </c>
      <c r="B9" s="171"/>
      <c r="C9" s="171"/>
      <c r="D9" s="171"/>
      <c r="E9" s="172"/>
      <c r="F9" s="172"/>
      <c r="G9" s="172"/>
      <c r="H9" s="8">
        <f>I9+J9+K9</f>
        <v>3896609361.96</v>
      </c>
      <c r="I9" s="8">
        <f>I73+I76+I85+I312+I314+I325+I327+I329+I331+I334+I337+I345+I346+I352+I424+I425+I444+I407+I408+I90+I82</f>
        <v>1804670352.7600002</v>
      </c>
      <c r="J9" s="8">
        <f t="shared" ref="J9:K9" si="1">J73+J76+J85+J312+J314+J325+J327+J329+J331+J334+J337+J345+J346+J352+J424+J425+J444+J407+J408+J90+J82</f>
        <v>1078975610.3299999</v>
      </c>
      <c r="K9" s="8">
        <f t="shared" si="1"/>
        <v>1012963398.87</v>
      </c>
    </row>
    <row r="10" spans="1:14" ht="19.5" customHeight="1" x14ac:dyDescent="0.2">
      <c r="A10" s="170" t="s">
        <v>136</v>
      </c>
      <c r="B10" s="171"/>
      <c r="C10" s="171"/>
      <c r="D10" s="171"/>
      <c r="E10" s="172"/>
      <c r="F10" s="172"/>
      <c r="G10" s="172"/>
      <c r="H10" s="8">
        <f>I10+J10+K10</f>
        <v>2991335631.2799997</v>
      </c>
      <c r="I10" s="8">
        <f>I74+I86+I335+I338+I409+I91+I83</f>
        <v>1091069010.2299998</v>
      </c>
      <c r="J10" s="8">
        <f t="shared" ref="J10:K10" si="2">J74+J86+J335+J338+J409+J91+J83</f>
        <v>1813838831.9200001</v>
      </c>
      <c r="K10" s="8">
        <f t="shared" si="2"/>
        <v>86427789.129999995</v>
      </c>
    </row>
    <row r="11" spans="1:14" ht="27.75" customHeight="1" thickBot="1" x14ac:dyDescent="0.25">
      <c r="A11" s="30" t="s">
        <v>175</v>
      </c>
      <c r="B11" s="4"/>
      <c r="C11" s="4"/>
      <c r="D11" s="4"/>
      <c r="E11" s="7"/>
      <c r="F11" s="7"/>
      <c r="G11" s="7"/>
      <c r="H11" s="146">
        <f>I11+J11+K11</f>
        <v>733730595.0200001</v>
      </c>
      <c r="I11" s="146">
        <f>SUM(I12:I15)</f>
        <v>733730595.0200001</v>
      </c>
      <c r="J11" s="117"/>
      <c r="K11" s="117"/>
      <c r="L11" s="42"/>
    </row>
    <row r="12" spans="1:14" ht="19.5" customHeight="1" x14ac:dyDescent="0.2">
      <c r="A12" s="167" t="s">
        <v>115</v>
      </c>
      <c r="B12" s="168"/>
      <c r="C12" s="168"/>
      <c r="D12" s="168"/>
      <c r="E12" s="169"/>
      <c r="F12" s="169"/>
      <c r="G12" s="169"/>
      <c r="H12" s="176">
        <f>I12</f>
        <v>20588011.059999999</v>
      </c>
      <c r="I12" s="176">
        <f>I22+I29+I35+I39+I50+I64+I97+I101+I105+I109++I122+I125+I128+I180+I241+I246+I251+I272</f>
        <v>20588011.059999999</v>
      </c>
      <c r="J12" s="177"/>
      <c r="K12" s="177"/>
    </row>
    <row r="13" spans="1:14" ht="19.5" customHeight="1" x14ac:dyDescent="0.2">
      <c r="A13" s="170" t="s">
        <v>116</v>
      </c>
      <c r="B13" s="171"/>
      <c r="C13" s="171"/>
      <c r="D13" s="171"/>
      <c r="E13" s="172"/>
      <c r="F13" s="172"/>
      <c r="G13" s="172"/>
      <c r="H13" s="110">
        <f>I13</f>
        <v>405661866.96000004</v>
      </c>
      <c r="I13" s="110">
        <f>I30+I36+I65+I98+I102+I110+I181+I242+I247+I252+I273</f>
        <v>405661866.96000004</v>
      </c>
      <c r="J13" s="178"/>
      <c r="K13" s="178"/>
    </row>
    <row r="14" spans="1:14" ht="18.75" customHeight="1" x14ac:dyDescent="0.2">
      <c r="A14" s="170" t="s">
        <v>136</v>
      </c>
      <c r="B14" s="171"/>
      <c r="C14" s="171"/>
      <c r="D14" s="171"/>
      <c r="E14" s="172"/>
      <c r="F14" s="172"/>
      <c r="G14" s="172"/>
      <c r="H14" s="110">
        <f>I14</f>
        <v>307325826.91999996</v>
      </c>
      <c r="I14" s="110">
        <f>I23+I31+I243+I248+I253</f>
        <v>307325826.91999996</v>
      </c>
      <c r="J14" s="178"/>
      <c r="K14" s="178"/>
    </row>
    <row r="15" spans="1:14" ht="27" customHeight="1" thickBot="1" x14ac:dyDescent="0.25">
      <c r="A15" s="173" t="s">
        <v>153</v>
      </c>
      <c r="B15" s="174"/>
      <c r="C15" s="174"/>
      <c r="D15" s="174"/>
      <c r="E15" s="175"/>
      <c r="F15" s="175"/>
      <c r="G15" s="175"/>
      <c r="H15" s="92">
        <f>I15</f>
        <v>154890.07999999999</v>
      </c>
      <c r="I15" s="92">
        <f>I66</f>
        <v>154890.07999999999</v>
      </c>
      <c r="J15" s="179"/>
      <c r="K15" s="179"/>
    </row>
    <row r="16" spans="1:14" ht="18.75" customHeight="1" thickBot="1" x14ac:dyDescent="0.25">
      <c r="A16" s="422" t="s">
        <v>112</v>
      </c>
      <c r="B16" s="422"/>
      <c r="C16" s="422"/>
      <c r="D16" s="422"/>
      <c r="E16" s="422"/>
      <c r="F16" s="422"/>
      <c r="G16" s="422"/>
      <c r="H16" s="422"/>
      <c r="I16" s="422"/>
      <c r="J16" s="422"/>
      <c r="K16" s="422"/>
    </row>
    <row r="17" spans="1:14" ht="18" customHeight="1" thickBot="1" x14ac:dyDescent="0.25">
      <c r="A17" s="417" t="s">
        <v>113</v>
      </c>
      <c r="B17" s="417"/>
      <c r="C17" s="417"/>
      <c r="D17" s="417"/>
      <c r="E17" s="417"/>
      <c r="F17" s="417"/>
      <c r="G17" s="417"/>
      <c r="H17" s="417"/>
      <c r="I17" s="417"/>
      <c r="J17" s="417"/>
      <c r="K17" s="417"/>
    </row>
    <row r="18" spans="1:14" ht="57" customHeight="1" thickBot="1" x14ac:dyDescent="0.25">
      <c r="A18" s="10" t="s">
        <v>107</v>
      </c>
      <c r="B18" s="45"/>
      <c r="C18" s="46"/>
      <c r="D18" s="46"/>
      <c r="E18" s="47"/>
      <c r="F18" s="47"/>
      <c r="G18" s="47"/>
      <c r="H18" s="67">
        <f>K18+J18+I18</f>
        <v>1864062587.49</v>
      </c>
      <c r="I18" s="67">
        <f>I19+I24+I32+I37+I40+I51+I54</f>
        <v>1254264270.48</v>
      </c>
      <c r="J18" s="67">
        <f t="shared" ref="J18:K18" si="3">J19+J24+J32+J37+J40</f>
        <v>609198317.00999999</v>
      </c>
      <c r="K18" s="67">
        <f t="shared" si="3"/>
        <v>600000</v>
      </c>
      <c r="L18" s="80"/>
      <c r="M18" s="103"/>
    </row>
    <row r="19" spans="1:14" ht="54" customHeight="1" x14ac:dyDescent="0.2">
      <c r="A19" s="251" t="s">
        <v>124</v>
      </c>
      <c r="B19" s="257" t="s">
        <v>119</v>
      </c>
      <c r="C19" s="89" t="s">
        <v>125</v>
      </c>
      <c r="D19" s="91" t="s">
        <v>138</v>
      </c>
      <c r="E19" s="260">
        <v>1061772193.27</v>
      </c>
      <c r="F19" s="260">
        <v>1035220536.02</v>
      </c>
      <c r="G19" s="264">
        <f>E19-F19</f>
        <v>26551657.25</v>
      </c>
      <c r="H19" s="33">
        <f>I19+J19+K19</f>
        <v>354651.99</v>
      </c>
      <c r="I19" s="33">
        <f>SUM(I20:I21)</f>
        <v>354651.99</v>
      </c>
      <c r="J19" s="33">
        <f t="shared" ref="J19:K19" si="4">SUM(J20:J21)</f>
        <v>0</v>
      </c>
      <c r="K19" s="33">
        <f t="shared" si="4"/>
        <v>0</v>
      </c>
      <c r="M19" s="52"/>
      <c r="N19" s="52"/>
    </row>
    <row r="20" spans="1:14" ht="25.5" x14ac:dyDescent="0.2">
      <c r="A20" s="9" t="s">
        <v>92</v>
      </c>
      <c r="B20" s="5" t="s">
        <v>294</v>
      </c>
      <c r="C20" s="159"/>
      <c r="D20" s="357"/>
      <c r="E20" s="358"/>
      <c r="F20" s="358"/>
      <c r="G20" s="205"/>
      <c r="H20" s="14">
        <f>I20+J20+K20</f>
        <v>91951.49</v>
      </c>
      <c r="I20" s="14">
        <v>91951.49</v>
      </c>
      <c r="J20" s="14"/>
      <c r="K20" s="14"/>
      <c r="L20" s="52"/>
      <c r="M20" s="52"/>
      <c r="N20" s="52"/>
    </row>
    <row r="21" spans="1:14" ht="25.5" x14ac:dyDescent="0.2">
      <c r="A21" s="197" t="s">
        <v>308</v>
      </c>
      <c r="B21" s="206" t="s">
        <v>309</v>
      </c>
      <c r="C21" s="159"/>
      <c r="D21" s="357"/>
      <c r="E21" s="358"/>
      <c r="F21" s="358"/>
      <c r="G21" s="205"/>
      <c r="H21" s="14">
        <f>I21+J21+K21</f>
        <v>262700.5</v>
      </c>
      <c r="I21" s="14">
        <v>262700.5</v>
      </c>
      <c r="J21" s="14"/>
      <c r="K21" s="14"/>
      <c r="L21" s="52"/>
      <c r="M21" s="52"/>
      <c r="N21" s="52"/>
    </row>
    <row r="22" spans="1:14" ht="38.25" x14ac:dyDescent="0.2">
      <c r="A22" s="197" t="s">
        <v>147</v>
      </c>
      <c r="B22" s="206"/>
      <c r="C22" s="258"/>
      <c r="D22" s="214"/>
      <c r="E22" s="215"/>
      <c r="F22" s="215"/>
      <c r="G22" s="215"/>
      <c r="H22" s="259">
        <f t="shared" ref="H22:H23" si="5">I22+J22+K22</f>
        <v>2248531.69</v>
      </c>
      <c r="I22" s="259">
        <v>2248531.69</v>
      </c>
      <c r="J22" s="110"/>
      <c r="K22" s="110"/>
      <c r="L22" s="54"/>
      <c r="M22" s="52"/>
      <c r="N22" s="52"/>
    </row>
    <row r="23" spans="1:14" ht="39" thickBot="1" x14ac:dyDescent="0.25">
      <c r="A23" s="197" t="s">
        <v>195</v>
      </c>
      <c r="B23" s="206"/>
      <c r="C23" s="258"/>
      <c r="D23" s="214"/>
      <c r="E23" s="215"/>
      <c r="F23" s="215"/>
      <c r="G23" s="215"/>
      <c r="H23" s="110">
        <f t="shared" si="5"/>
        <v>222604637.53</v>
      </c>
      <c r="I23" s="259">
        <v>222604637.53</v>
      </c>
      <c r="J23" s="110"/>
      <c r="K23" s="110"/>
      <c r="L23" s="52"/>
      <c r="M23" s="52"/>
      <c r="N23" s="52"/>
    </row>
    <row r="24" spans="1:14" ht="51" x14ac:dyDescent="0.2">
      <c r="A24" s="136" t="s">
        <v>0</v>
      </c>
      <c r="B24" s="34" t="s">
        <v>119</v>
      </c>
      <c r="C24" s="89" t="s">
        <v>146</v>
      </c>
      <c r="D24" s="35" t="s">
        <v>102</v>
      </c>
      <c r="E24" s="264">
        <v>973133257.24000001</v>
      </c>
      <c r="F24" s="292">
        <v>225132266.03</v>
      </c>
      <c r="G24" s="264">
        <f>E24-F24</f>
        <v>748000991.21000004</v>
      </c>
      <c r="H24" s="33">
        <f t="shared" ref="H24:H28" si="6">I24+J24+K24</f>
        <v>632407458.30999994</v>
      </c>
      <c r="I24" s="33">
        <f>SUM(I25:I28)</f>
        <v>332424010.10000002</v>
      </c>
      <c r="J24" s="33">
        <f>SUM(J25:J28)</f>
        <v>299983448.20999998</v>
      </c>
      <c r="K24" s="33">
        <f>SUM(K25:K28)</f>
        <v>0</v>
      </c>
      <c r="L24" s="52"/>
      <c r="M24" s="51"/>
      <c r="N24" s="79"/>
    </row>
    <row r="25" spans="1:14" ht="25.5" x14ac:dyDescent="0.2">
      <c r="A25" s="9" t="s">
        <v>92</v>
      </c>
      <c r="B25" s="5" t="s">
        <v>294</v>
      </c>
      <c r="C25" s="50"/>
      <c r="D25" s="50"/>
      <c r="E25" s="261"/>
      <c r="F25" s="261"/>
      <c r="G25" s="261"/>
      <c r="H25" s="8">
        <f t="shared" si="6"/>
        <v>1100000</v>
      </c>
      <c r="I25" s="8">
        <v>500000</v>
      </c>
      <c r="J25" s="8">
        <v>600000</v>
      </c>
      <c r="K25" s="8"/>
      <c r="L25" s="52"/>
      <c r="M25" s="51"/>
      <c r="N25" s="79"/>
    </row>
    <row r="26" spans="1:14" ht="38.25" x14ac:dyDescent="0.2">
      <c r="A26" s="197" t="s">
        <v>94</v>
      </c>
      <c r="B26" s="206" t="s">
        <v>269</v>
      </c>
      <c r="C26" s="50"/>
      <c r="D26" s="50"/>
      <c r="E26" s="261"/>
      <c r="F26" s="261"/>
      <c r="G26" s="261"/>
      <c r="H26" s="8">
        <f t="shared" si="6"/>
        <v>6313074.5800000001</v>
      </c>
      <c r="I26" s="8">
        <v>3319240.1</v>
      </c>
      <c r="J26" s="8">
        <v>2993834.48</v>
      </c>
      <c r="K26" s="8"/>
      <c r="L26" s="52"/>
      <c r="M26" s="51"/>
      <c r="N26" s="79"/>
    </row>
    <row r="27" spans="1:14" ht="38.25" x14ac:dyDescent="0.2">
      <c r="A27" s="197" t="s">
        <v>95</v>
      </c>
      <c r="B27" s="206" t="s">
        <v>268</v>
      </c>
      <c r="C27" s="50"/>
      <c r="D27" s="50"/>
      <c r="E27" s="261"/>
      <c r="F27" s="261"/>
      <c r="G27" s="261"/>
      <c r="H27" s="8">
        <f t="shared" si="6"/>
        <v>99715783.729999989</v>
      </c>
      <c r="I27" s="8">
        <v>46800570</v>
      </c>
      <c r="J27" s="8">
        <v>52915213.729999997</v>
      </c>
      <c r="K27" s="8"/>
      <c r="L27" s="52"/>
      <c r="M27" s="51"/>
      <c r="N27" s="79"/>
    </row>
    <row r="28" spans="1:14" ht="38.25" x14ac:dyDescent="0.2">
      <c r="A28" s="338" t="s">
        <v>47</v>
      </c>
      <c r="B28" s="339" t="s">
        <v>267</v>
      </c>
      <c r="C28" s="254"/>
      <c r="D28" s="254"/>
      <c r="E28" s="262"/>
      <c r="F28" s="262"/>
      <c r="G28" s="262"/>
      <c r="H28" s="15">
        <f t="shared" si="6"/>
        <v>525278600</v>
      </c>
      <c r="I28" s="15">
        <v>281804200</v>
      </c>
      <c r="J28" s="15">
        <v>243474400</v>
      </c>
      <c r="K28" s="25"/>
      <c r="L28" s="52"/>
      <c r="M28" s="51"/>
      <c r="N28" s="79"/>
    </row>
    <row r="29" spans="1:14" ht="38.25" x14ac:dyDescent="0.2">
      <c r="A29" s="9" t="s">
        <v>147</v>
      </c>
      <c r="B29" s="5"/>
      <c r="C29" s="50"/>
      <c r="D29" s="50"/>
      <c r="E29" s="261"/>
      <c r="F29" s="261"/>
      <c r="G29" s="261"/>
      <c r="H29" s="110">
        <f>K29+J29+I29</f>
        <v>1128714.51</v>
      </c>
      <c r="I29" s="110">
        <f>893884.51+234830</f>
        <v>1128714.51</v>
      </c>
      <c r="J29" s="8"/>
      <c r="K29" s="8"/>
      <c r="L29" s="52"/>
      <c r="M29" s="51"/>
      <c r="N29" s="79"/>
    </row>
    <row r="30" spans="1:14" ht="38.25" x14ac:dyDescent="0.2">
      <c r="A30" s="9" t="s">
        <v>193</v>
      </c>
      <c r="B30" s="5"/>
      <c r="C30" s="50"/>
      <c r="D30" s="50"/>
      <c r="E30" s="261"/>
      <c r="F30" s="261"/>
      <c r="G30" s="261"/>
      <c r="H30" s="110">
        <f t="shared" ref="H30:H31" si="7">K30+J30+I30</f>
        <v>7079565.3700000001</v>
      </c>
      <c r="I30" s="110">
        <v>7079565.3700000001</v>
      </c>
      <c r="J30" s="8"/>
      <c r="K30" s="8"/>
      <c r="L30" s="52"/>
      <c r="M30" s="51"/>
      <c r="N30" s="79"/>
    </row>
    <row r="31" spans="1:14" ht="39" thickBot="1" x14ac:dyDescent="0.25">
      <c r="A31" s="9" t="s">
        <v>194</v>
      </c>
      <c r="B31" s="6"/>
      <c r="C31" s="256"/>
      <c r="D31" s="256"/>
      <c r="E31" s="263"/>
      <c r="F31" s="263"/>
      <c r="G31" s="263"/>
      <c r="H31" s="110">
        <f t="shared" si="7"/>
        <v>81415001.829999998</v>
      </c>
      <c r="I31" s="92">
        <v>81415001.829999998</v>
      </c>
      <c r="J31" s="13"/>
      <c r="K31" s="13"/>
      <c r="L31" s="52"/>
      <c r="M31" s="51"/>
      <c r="N31" s="79"/>
    </row>
    <row r="32" spans="1:14" ht="63.75" x14ac:dyDescent="0.2">
      <c r="A32" s="94" t="s">
        <v>287</v>
      </c>
      <c r="B32" s="99" t="s">
        <v>119</v>
      </c>
      <c r="C32" s="89" t="s">
        <v>41</v>
      </c>
      <c r="D32" s="89" t="s">
        <v>128</v>
      </c>
      <c r="E32" s="264">
        <v>1485301467.1099999</v>
      </c>
      <c r="F32" s="292">
        <v>569280700.39999998</v>
      </c>
      <c r="G32" s="264">
        <f>E32-F32</f>
        <v>916020766.70999992</v>
      </c>
      <c r="H32" s="33">
        <f>I32+J32+K32</f>
        <v>915834444.45000005</v>
      </c>
      <c r="I32" s="33">
        <f>SUM(I33:I34)</f>
        <v>915834444.45000005</v>
      </c>
      <c r="J32" s="33">
        <f>SUM(J33:J34)</f>
        <v>0</v>
      </c>
      <c r="K32" s="33">
        <f>SUM(K33:K34)</f>
        <v>0</v>
      </c>
      <c r="L32" s="52"/>
      <c r="M32" s="51"/>
      <c r="N32" s="79"/>
    </row>
    <row r="33" spans="1:14" ht="25.5" x14ac:dyDescent="0.2">
      <c r="A33" s="100" t="s">
        <v>91</v>
      </c>
      <c r="B33" s="206" t="s">
        <v>259</v>
      </c>
      <c r="C33" s="50"/>
      <c r="D33" s="50"/>
      <c r="E33" s="8"/>
      <c r="F33" s="8"/>
      <c r="G33" s="8"/>
      <c r="H33" s="8">
        <f>I33+J33+K33</f>
        <v>9158344.4499999993</v>
      </c>
      <c r="I33" s="8">
        <v>9158344.4499999993</v>
      </c>
      <c r="J33" s="8"/>
      <c r="K33" s="8"/>
      <c r="L33" s="51"/>
      <c r="M33" s="51"/>
      <c r="N33" s="51"/>
    </row>
    <row r="34" spans="1:14" ht="25.5" x14ac:dyDescent="0.2">
      <c r="A34" s="100" t="s">
        <v>39</v>
      </c>
      <c r="B34" s="206" t="s">
        <v>260</v>
      </c>
      <c r="C34" s="50"/>
      <c r="D34" s="50"/>
      <c r="E34" s="8"/>
      <c r="F34" s="8"/>
      <c r="G34" s="8"/>
      <c r="H34" s="8">
        <f>I34+J34+K34</f>
        <v>906676100</v>
      </c>
      <c r="I34" s="8">
        <v>906676100</v>
      </c>
      <c r="J34" s="8"/>
      <c r="K34" s="8"/>
      <c r="L34" s="52"/>
      <c r="M34" s="52"/>
      <c r="N34" s="52"/>
    </row>
    <row r="35" spans="1:14" ht="38.25" x14ac:dyDescent="0.2">
      <c r="A35" s="9" t="s">
        <v>147</v>
      </c>
      <c r="B35" s="5"/>
      <c r="C35" s="50"/>
      <c r="D35" s="50"/>
      <c r="E35" s="8"/>
      <c r="F35" s="8"/>
      <c r="G35" s="8"/>
      <c r="H35" s="110">
        <f>I35+J35+K35</f>
        <v>2609281.13</v>
      </c>
      <c r="I35" s="110">
        <f>2342621.13+266660</f>
        <v>2609281.13</v>
      </c>
      <c r="J35" s="110"/>
      <c r="K35" s="110"/>
      <c r="L35" s="52"/>
      <c r="M35" s="52"/>
      <c r="N35" s="52"/>
    </row>
    <row r="36" spans="1:14" ht="39" thickBot="1" x14ac:dyDescent="0.25">
      <c r="A36" s="16" t="s">
        <v>193</v>
      </c>
      <c r="B36" s="279"/>
      <c r="C36" s="344"/>
      <c r="D36" s="344"/>
      <c r="E36" s="26"/>
      <c r="F36" s="26"/>
      <c r="G36" s="26"/>
      <c r="H36" s="330">
        <f>I36+J36+K36</f>
        <v>231919492.19999999</v>
      </c>
      <c r="I36" s="330">
        <v>231919492.19999999</v>
      </c>
      <c r="J36" s="330"/>
      <c r="K36" s="330"/>
      <c r="L36" s="52"/>
      <c r="M36" s="52"/>
      <c r="N36" s="52"/>
    </row>
    <row r="37" spans="1:14" ht="82.5" customHeight="1" x14ac:dyDescent="0.2">
      <c r="A37" s="355" t="s">
        <v>57</v>
      </c>
      <c r="B37" s="122" t="s">
        <v>127</v>
      </c>
      <c r="C37" s="113" t="s">
        <v>86</v>
      </c>
      <c r="D37" s="113" t="s">
        <v>102</v>
      </c>
      <c r="E37" s="273">
        <v>815219200</v>
      </c>
      <c r="F37" s="262">
        <v>4470580.09</v>
      </c>
      <c r="G37" s="273">
        <f>E37-F37</f>
        <v>810748619.90999997</v>
      </c>
      <c r="H37" s="25">
        <f t="shared" ref="H37:H39" si="8">I37+J37+K37</f>
        <v>760183.24</v>
      </c>
      <c r="I37" s="25">
        <f>SUM(I38)</f>
        <v>760183.24</v>
      </c>
      <c r="J37" s="25">
        <f t="shared" ref="J37:K37" si="9">SUM(J38)</f>
        <v>0</v>
      </c>
      <c r="K37" s="25">
        <f t="shared" si="9"/>
        <v>0</v>
      </c>
      <c r="L37" s="52"/>
      <c r="M37" s="51"/>
      <c r="N37" s="79"/>
    </row>
    <row r="38" spans="1:14" ht="25.5" x14ac:dyDescent="0.2">
      <c r="A38" s="100" t="s">
        <v>92</v>
      </c>
      <c r="B38" s="95" t="s">
        <v>295</v>
      </c>
      <c r="C38" s="114"/>
      <c r="D38" s="114"/>
      <c r="E38" s="309"/>
      <c r="F38" s="261"/>
      <c r="G38" s="309"/>
      <c r="H38" s="8">
        <f t="shared" si="8"/>
        <v>760183.24</v>
      </c>
      <c r="I38" s="8">
        <f>108183.24+652000</f>
        <v>760183.24</v>
      </c>
      <c r="J38" s="8"/>
      <c r="K38" s="8"/>
      <c r="L38" s="52"/>
      <c r="M38" s="51"/>
      <c r="N38" s="79"/>
    </row>
    <row r="39" spans="1:14" ht="39" thickBot="1" x14ac:dyDescent="0.25">
      <c r="A39" s="9" t="s">
        <v>147</v>
      </c>
      <c r="B39" s="96"/>
      <c r="C39" s="225"/>
      <c r="D39" s="225"/>
      <c r="E39" s="226"/>
      <c r="F39" s="223"/>
      <c r="G39" s="226"/>
      <c r="H39" s="92">
        <f t="shared" si="8"/>
        <v>923984.25</v>
      </c>
      <c r="I39" s="92">
        <v>923984.25</v>
      </c>
      <c r="J39" s="92"/>
      <c r="K39" s="92"/>
      <c r="L39" s="52"/>
      <c r="M39" s="51"/>
      <c r="N39" s="79"/>
    </row>
    <row r="40" spans="1:14" ht="51" x14ac:dyDescent="0.2">
      <c r="A40" s="94" t="s">
        <v>286</v>
      </c>
      <c r="B40" s="99" t="s">
        <v>139</v>
      </c>
      <c r="C40" s="89" t="s">
        <v>239</v>
      </c>
      <c r="D40" s="89" t="s">
        <v>163</v>
      </c>
      <c r="E40" s="108">
        <v>881541486.99000001</v>
      </c>
      <c r="F40" s="81">
        <v>0</v>
      </c>
      <c r="G40" s="108">
        <f>E40-F40</f>
        <v>881541486.99000001</v>
      </c>
      <c r="H40" s="81">
        <f t="shared" ref="H40:H41" si="10">I40+J40+K40</f>
        <v>309814868.80000001</v>
      </c>
      <c r="I40" s="81">
        <f>SUM(I41:I48)</f>
        <v>0</v>
      </c>
      <c r="J40" s="81">
        <f t="shared" ref="J40:K40" si="11">SUM(J41:J48)</f>
        <v>309214868.80000001</v>
      </c>
      <c r="K40" s="81">
        <f t="shared" si="11"/>
        <v>600000</v>
      </c>
      <c r="L40" s="52"/>
      <c r="M40" s="51"/>
      <c r="N40" s="79"/>
    </row>
    <row r="41" spans="1:14" ht="25.5" x14ac:dyDescent="0.2">
      <c r="A41" s="100" t="s">
        <v>92</v>
      </c>
      <c r="B41" s="206" t="s">
        <v>295</v>
      </c>
      <c r="C41" s="114"/>
      <c r="D41" s="114"/>
      <c r="E41" s="109"/>
      <c r="F41" s="87"/>
      <c r="G41" s="109"/>
      <c r="H41" s="87">
        <f t="shared" si="10"/>
        <v>3723653.62</v>
      </c>
      <c r="I41" s="87"/>
      <c r="J41" s="87">
        <f>3200000-76346.38</f>
        <v>3123653.62</v>
      </c>
      <c r="K41" s="87">
        <v>600000</v>
      </c>
      <c r="L41" s="52"/>
      <c r="M41" s="51"/>
      <c r="N41" s="79"/>
    </row>
    <row r="42" spans="1:14" ht="25.5" x14ac:dyDescent="0.2">
      <c r="A42" s="197" t="s">
        <v>256</v>
      </c>
      <c r="B42" s="206" t="s">
        <v>283</v>
      </c>
      <c r="C42" s="114"/>
      <c r="D42" s="114"/>
      <c r="E42" s="109"/>
      <c r="F42" s="87"/>
      <c r="G42" s="109"/>
      <c r="H42" s="87">
        <f t="shared" ref="H42:H48" si="12">I42+J42+K42</f>
        <v>0</v>
      </c>
      <c r="I42" s="87"/>
      <c r="J42" s="87">
        <f>2984565.77-572795.45-2411770.32</f>
        <v>0</v>
      </c>
      <c r="K42" s="87">
        <f>40902508.58-7849976.39-33052532.19</f>
        <v>0</v>
      </c>
      <c r="L42" s="52"/>
      <c r="M42" s="51"/>
      <c r="N42" s="52"/>
    </row>
    <row r="43" spans="1:14" ht="38.25" x14ac:dyDescent="0.2">
      <c r="A43" s="197" t="s">
        <v>256</v>
      </c>
      <c r="B43" s="206" t="s">
        <v>442</v>
      </c>
      <c r="C43" s="114"/>
      <c r="D43" s="114"/>
      <c r="E43" s="109"/>
      <c r="F43" s="87"/>
      <c r="G43" s="109"/>
      <c r="H43" s="87">
        <f t="shared" si="12"/>
        <v>3060912.15</v>
      </c>
      <c r="I43" s="87"/>
      <c r="J43" s="87">
        <v>3060912.15</v>
      </c>
      <c r="K43" s="87"/>
      <c r="L43" s="52"/>
      <c r="M43" s="51"/>
      <c r="N43" s="52"/>
    </row>
    <row r="44" spans="1:14" ht="38.25" x14ac:dyDescent="0.2">
      <c r="A44" s="197" t="s">
        <v>256</v>
      </c>
      <c r="B44" s="206" t="s">
        <v>277</v>
      </c>
      <c r="C44" s="114"/>
      <c r="D44" s="114"/>
      <c r="E44" s="109"/>
      <c r="F44" s="87"/>
      <c r="G44" s="109"/>
      <c r="H44" s="87">
        <f t="shared" si="12"/>
        <v>0</v>
      </c>
      <c r="I44" s="87"/>
      <c r="J44" s="87">
        <f>572795.45+2488116.7-3060912.15</f>
        <v>0</v>
      </c>
      <c r="K44" s="87">
        <f>7849976.39-7849976.39</f>
        <v>0</v>
      </c>
      <c r="L44" s="52"/>
      <c r="M44" s="51"/>
      <c r="N44" s="52"/>
    </row>
    <row r="45" spans="1:14" ht="38.25" x14ac:dyDescent="0.2">
      <c r="A45" s="197" t="s">
        <v>257</v>
      </c>
      <c r="B45" s="206" t="s">
        <v>443</v>
      </c>
      <c r="C45" s="114"/>
      <c r="D45" s="114"/>
      <c r="E45" s="109"/>
      <c r="F45" s="87"/>
      <c r="G45" s="109"/>
      <c r="H45" s="87">
        <f t="shared" si="12"/>
        <v>3030303.03</v>
      </c>
      <c r="I45" s="87"/>
      <c r="J45" s="87">
        <v>3030303.03</v>
      </c>
      <c r="K45" s="87"/>
      <c r="L45" s="52"/>
      <c r="M45" s="51"/>
      <c r="N45" s="52"/>
    </row>
    <row r="46" spans="1:14" ht="38.25" x14ac:dyDescent="0.2">
      <c r="A46" s="197" t="s">
        <v>257</v>
      </c>
      <c r="B46" s="206" t="s">
        <v>276</v>
      </c>
      <c r="C46" s="114"/>
      <c r="D46" s="114"/>
      <c r="E46" s="109"/>
      <c r="F46" s="87"/>
      <c r="G46" s="109"/>
      <c r="H46" s="87">
        <f t="shared" si="12"/>
        <v>0</v>
      </c>
      <c r="I46" s="87"/>
      <c r="J46" s="87">
        <f>567067.5+2463235.53-3030303.03</f>
        <v>0</v>
      </c>
      <c r="K46" s="87">
        <f>7771476.63-7771476.63</f>
        <v>0</v>
      </c>
      <c r="L46" s="52"/>
      <c r="M46" s="51"/>
      <c r="N46" s="79"/>
    </row>
    <row r="47" spans="1:14" ht="38.25" x14ac:dyDescent="0.2">
      <c r="A47" s="197" t="s">
        <v>258</v>
      </c>
      <c r="B47" s="206" t="s">
        <v>444</v>
      </c>
      <c r="C47" s="382"/>
      <c r="D47" s="382"/>
      <c r="E47" s="403"/>
      <c r="F47" s="359"/>
      <c r="G47" s="403"/>
      <c r="H47" s="87">
        <f t="shared" si="12"/>
        <v>300000000</v>
      </c>
      <c r="I47" s="359"/>
      <c r="J47" s="359">
        <v>300000000</v>
      </c>
      <c r="K47" s="359"/>
      <c r="L47" s="52"/>
      <c r="M47" s="51"/>
      <c r="N47" s="79"/>
    </row>
    <row r="48" spans="1:14" ht="39" thickBot="1" x14ac:dyDescent="0.25">
      <c r="A48" s="252" t="s">
        <v>258</v>
      </c>
      <c r="B48" s="380" t="s">
        <v>275</v>
      </c>
      <c r="C48" s="133"/>
      <c r="D48" s="133"/>
      <c r="E48" s="123"/>
      <c r="F48" s="88"/>
      <c r="G48" s="123"/>
      <c r="H48" s="88">
        <f t="shared" si="12"/>
        <v>0</v>
      </c>
      <c r="I48" s="88"/>
      <c r="J48" s="88">
        <f>56139682.2+243860317.8-300000000</f>
        <v>0</v>
      </c>
      <c r="K48" s="88">
        <f>769376186.31-769376186.31</f>
        <v>0</v>
      </c>
      <c r="L48" s="52"/>
      <c r="M48" s="51"/>
      <c r="N48" s="79"/>
    </row>
    <row r="49" spans="1:14" ht="38.25" x14ac:dyDescent="0.2">
      <c r="A49" s="136" t="s">
        <v>240</v>
      </c>
      <c r="B49" s="34"/>
      <c r="C49" s="89"/>
      <c r="D49" s="89"/>
      <c r="E49" s="108"/>
      <c r="F49" s="81"/>
      <c r="G49" s="108"/>
      <c r="H49" s="81">
        <f>I49+J49+K49</f>
        <v>0</v>
      </c>
      <c r="I49" s="81">
        <v>0</v>
      </c>
      <c r="J49" s="81">
        <v>0</v>
      </c>
      <c r="K49" s="81">
        <v>0</v>
      </c>
      <c r="L49" s="52"/>
      <c r="M49" s="51"/>
      <c r="N49" s="79"/>
    </row>
    <row r="50" spans="1:14" ht="39" thickBot="1" x14ac:dyDescent="0.25">
      <c r="A50" s="353" t="s">
        <v>147</v>
      </c>
      <c r="B50" s="346"/>
      <c r="C50" s="113"/>
      <c r="D50" s="113"/>
      <c r="E50" s="132"/>
      <c r="F50" s="104"/>
      <c r="G50" s="132"/>
      <c r="H50" s="354">
        <f>I50</f>
        <v>49650</v>
      </c>
      <c r="I50" s="265">
        <v>49650</v>
      </c>
      <c r="J50" s="265"/>
      <c r="K50" s="265"/>
      <c r="L50" s="52"/>
      <c r="M50" s="51"/>
      <c r="N50" s="79"/>
    </row>
    <row r="51" spans="1:14" ht="63.75" x14ac:dyDescent="0.2">
      <c r="A51" s="136" t="s">
        <v>305</v>
      </c>
      <c r="B51" s="99" t="s">
        <v>119</v>
      </c>
      <c r="C51" s="307" t="s">
        <v>306</v>
      </c>
      <c r="D51" s="307">
        <v>2023</v>
      </c>
      <c r="E51" s="264">
        <f>1303176940*1.051</f>
        <v>1369638963.9399998</v>
      </c>
      <c r="F51" s="292">
        <v>1258009791.5799999</v>
      </c>
      <c r="G51" s="264">
        <f>E51-F51</f>
        <v>111629172.3599999</v>
      </c>
      <c r="H51" s="98">
        <f t="shared" ref="H51" si="13">I51+J51+K51</f>
        <v>376500.52</v>
      </c>
      <c r="I51" s="81">
        <f>SUM(I52:I53)</f>
        <v>376500.52</v>
      </c>
      <c r="J51" s="81">
        <f t="shared" ref="J51:K51" si="14">SUM(J52)</f>
        <v>0</v>
      </c>
      <c r="K51" s="81">
        <f t="shared" si="14"/>
        <v>0</v>
      </c>
      <c r="L51" s="52"/>
      <c r="M51" s="51"/>
      <c r="N51" s="79"/>
    </row>
    <row r="52" spans="1:14" ht="25.5" x14ac:dyDescent="0.2">
      <c r="A52" s="100" t="s">
        <v>308</v>
      </c>
      <c r="B52" s="95" t="s">
        <v>307</v>
      </c>
      <c r="C52" s="114"/>
      <c r="D52" s="114"/>
      <c r="E52" s="109"/>
      <c r="F52" s="87"/>
      <c r="G52" s="109"/>
      <c r="H52" s="87">
        <f t="shared" ref="H52:H54" si="15">I52+J52+K52</f>
        <v>304246.68</v>
      </c>
      <c r="I52" s="87">
        <v>304246.68</v>
      </c>
      <c r="J52" s="87"/>
      <c r="K52" s="87"/>
      <c r="L52" s="52"/>
      <c r="M52" s="51"/>
      <c r="N52" s="79"/>
    </row>
    <row r="53" spans="1:14" ht="26.25" thickBot="1" x14ac:dyDescent="0.25">
      <c r="A53" s="199" t="s">
        <v>308</v>
      </c>
      <c r="B53" s="340" t="s">
        <v>315</v>
      </c>
      <c r="C53" s="133"/>
      <c r="D53" s="133"/>
      <c r="E53" s="123"/>
      <c r="F53" s="88"/>
      <c r="G53" s="123"/>
      <c r="H53" s="88">
        <f t="shared" ref="H53:H55" si="16">I53+J53+K53</f>
        <v>72253.84</v>
      </c>
      <c r="I53" s="88">
        <v>72253.84</v>
      </c>
      <c r="J53" s="88"/>
      <c r="K53" s="88"/>
      <c r="L53" s="52"/>
      <c r="M53" s="51"/>
      <c r="N53" s="79"/>
    </row>
    <row r="54" spans="1:14" ht="76.5" x14ac:dyDescent="0.2">
      <c r="A54" s="137" t="s">
        <v>311</v>
      </c>
      <c r="B54" s="360" t="s">
        <v>119</v>
      </c>
      <c r="C54" s="398" t="s">
        <v>312</v>
      </c>
      <c r="D54" s="398" t="s">
        <v>128</v>
      </c>
      <c r="E54" s="293">
        <v>105425837.62</v>
      </c>
      <c r="F54" s="293">
        <v>15121951.189999999</v>
      </c>
      <c r="G54" s="293">
        <f>E54-F54</f>
        <v>90303886.430000007</v>
      </c>
      <c r="H54" s="98">
        <f t="shared" si="15"/>
        <v>4514480.18</v>
      </c>
      <c r="I54" s="98">
        <f>SUM(I55)</f>
        <v>4514480.18</v>
      </c>
      <c r="J54" s="98">
        <f t="shared" ref="J54" si="17">SUM(J55)</f>
        <v>0</v>
      </c>
      <c r="K54" s="98">
        <f t="shared" ref="K54" si="18">SUM(K55)</f>
        <v>0</v>
      </c>
      <c r="L54" s="52"/>
      <c r="M54" s="51"/>
      <c r="N54" s="79"/>
    </row>
    <row r="55" spans="1:14" ht="26.25" thickBot="1" x14ac:dyDescent="0.25">
      <c r="A55" s="197" t="s">
        <v>313</v>
      </c>
      <c r="B55" s="206" t="s">
        <v>314</v>
      </c>
      <c r="C55" s="133"/>
      <c r="D55" s="133"/>
      <c r="E55" s="123"/>
      <c r="F55" s="88"/>
      <c r="G55" s="123"/>
      <c r="H55" s="359">
        <f t="shared" si="16"/>
        <v>4514480.18</v>
      </c>
      <c r="I55" s="359">
        <v>4514480.18</v>
      </c>
      <c r="J55" s="359"/>
      <c r="K55" s="359"/>
      <c r="L55" s="52"/>
      <c r="M55" s="51"/>
      <c r="N55" s="79"/>
    </row>
    <row r="56" spans="1:14" ht="39" thickBot="1" x14ac:dyDescent="0.25">
      <c r="A56" s="10" t="s">
        <v>105</v>
      </c>
      <c r="B56" s="229"/>
      <c r="C56" s="230"/>
      <c r="D56" s="230"/>
      <c r="E56" s="231"/>
      <c r="F56" s="232"/>
      <c r="G56" s="231"/>
      <c r="H56" s="287">
        <f t="shared" ref="H56:H58" si="19">I56+J56+K56</f>
        <v>18525739.859999999</v>
      </c>
      <c r="I56" s="149">
        <f t="shared" ref="I56:K58" si="20">I57</f>
        <v>18525739.859999999</v>
      </c>
      <c r="J56" s="149">
        <f t="shared" si="20"/>
        <v>0</v>
      </c>
      <c r="K56" s="149">
        <f t="shared" si="20"/>
        <v>0</v>
      </c>
      <c r="L56" s="52"/>
      <c r="M56" s="51"/>
      <c r="N56" s="79"/>
    </row>
    <row r="57" spans="1:14" ht="27.75" thickBot="1" x14ac:dyDescent="0.25">
      <c r="A57" s="55" t="s">
        <v>76</v>
      </c>
      <c r="B57" s="229"/>
      <c r="C57" s="230"/>
      <c r="D57" s="230"/>
      <c r="E57" s="231"/>
      <c r="F57" s="232"/>
      <c r="G57" s="231"/>
      <c r="H57" s="288">
        <f t="shared" si="19"/>
        <v>18525739.859999999</v>
      </c>
      <c r="I57" s="289">
        <f t="shared" si="20"/>
        <v>18525739.859999999</v>
      </c>
      <c r="J57" s="289">
        <f t="shared" si="20"/>
        <v>0</v>
      </c>
      <c r="K57" s="289">
        <f t="shared" si="20"/>
        <v>0</v>
      </c>
      <c r="L57" s="52"/>
      <c r="M57" s="51"/>
      <c r="N57" s="79"/>
    </row>
    <row r="58" spans="1:14" ht="27.75" thickBot="1" x14ac:dyDescent="0.25">
      <c r="A58" s="55" t="s">
        <v>78</v>
      </c>
      <c r="B58" s="229"/>
      <c r="C58" s="230"/>
      <c r="D58" s="230"/>
      <c r="E58" s="231"/>
      <c r="F58" s="232"/>
      <c r="G58" s="231"/>
      <c r="H58" s="288">
        <f t="shared" si="19"/>
        <v>18525739.859999999</v>
      </c>
      <c r="I58" s="289">
        <f>I59+I67</f>
        <v>18525739.859999999</v>
      </c>
      <c r="J58" s="289">
        <f t="shared" si="20"/>
        <v>0</v>
      </c>
      <c r="K58" s="289">
        <f t="shared" si="20"/>
        <v>0</v>
      </c>
      <c r="L58" s="54"/>
      <c r="M58" s="51"/>
      <c r="N58" s="79"/>
    </row>
    <row r="59" spans="1:14" ht="56.25" customHeight="1" x14ac:dyDescent="0.2">
      <c r="A59" s="94" t="s">
        <v>40</v>
      </c>
      <c r="B59" s="99" t="s">
        <v>119</v>
      </c>
      <c r="C59" s="89" t="s">
        <v>126</v>
      </c>
      <c r="D59" s="266" t="s">
        <v>138</v>
      </c>
      <c r="E59" s="108">
        <v>354181766.83999997</v>
      </c>
      <c r="F59" s="108">
        <v>78232840.280000001</v>
      </c>
      <c r="G59" s="108">
        <f>E59-F59</f>
        <v>275948926.55999994</v>
      </c>
      <c r="H59" s="108">
        <f>I59+J59+K59</f>
        <v>13737161.899999999</v>
      </c>
      <c r="I59" s="108">
        <f>SUM(I60:I63)</f>
        <v>13737161.899999999</v>
      </c>
      <c r="J59" s="108">
        <f t="shared" ref="J59:K59" si="21">SUM(J60:J63)</f>
        <v>0</v>
      </c>
      <c r="K59" s="108">
        <f t="shared" si="21"/>
        <v>0</v>
      </c>
      <c r="L59" s="52"/>
      <c r="M59" s="51"/>
      <c r="N59" s="79"/>
    </row>
    <row r="60" spans="1:14" ht="25.5" x14ac:dyDescent="0.2">
      <c r="A60" s="100" t="s">
        <v>303</v>
      </c>
      <c r="B60" s="95" t="s">
        <v>304</v>
      </c>
      <c r="C60" s="114"/>
      <c r="D60" s="371"/>
      <c r="E60" s="109"/>
      <c r="F60" s="109"/>
      <c r="G60" s="109"/>
      <c r="H60" s="157">
        <f>SUM(I60:K60)</f>
        <v>548396.07999999996</v>
      </c>
      <c r="I60" s="109">
        <v>548396.07999999996</v>
      </c>
      <c r="J60" s="109"/>
      <c r="K60" s="109"/>
      <c r="L60" s="52"/>
      <c r="M60" s="51"/>
      <c r="N60" s="79"/>
    </row>
    <row r="61" spans="1:14" ht="25.5" x14ac:dyDescent="0.2">
      <c r="A61" s="197" t="s">
        <v>298</v>
      </c>
      <c r="B61" s="95" t="s">
        <v>299</v>
      </c>
      <c r="C61" s="113"/>
      <c r="D61" s="347"/>
      <c r="E61" s="132"/>
      <c r="F61" s="132"/>
      <c r="G61" s="132"/>
      <c r="H61" s="132">
        <f>SUM(I61:K61)</f>
        <v>2719963.81</v>
      </c>
      <c r="I61" s="132">
        <v>2719963.81</v>
      </c>
      <c r="J61" s="276"/>
      <c r="K61" s="276"/>
      <c r="L61" s="52"/>
      <c r="M61" s="51"/>
      <c r="N61" s="79"/>
    </row>
    <row r="62" spans="1:14" ht="25.5" x14ac:dyDescent="0.2">
      <c r="A62" s="197" t="s">
        <v>344</v>
      </c>
      <c r="B62" s="206" t="s">
        <v>345</v>
      </c>
      <c r="C62" s="114"/>
      <c r="D62" s="371"/>
      <c r="E62" s="109"/>
      <c r="F62" s="109"/>
      <c r="G62" s="109"/>
      <c r="H62" s="109">
        <f t="shared" ref="H62:H63" si="22">SUM(I62:K62)</f>
        <v>224915.14</v>
      </c>
      <c r="I62" s="109">
        <v>224915.14</v>
      </c>
      <c r="J62" s="27"/>
      <c r="K62" s="27"/>
      <c r="L62" s="52"/>
      <c r="M62" s="51"/>
      <c r="N62" s="79"/>
    </row>
    <row r="63" spans="1:14" ht="25.5" x14ac:dyDescent="0.2">
      <c r="A63" s="197" t="s">
        <v>343</v>
      </c>
      <c r="B63" s="206" t="s">
        <v>342</v>
      </c>
      <c r="C63" s="114"/>
      <c r="D63" s="371"/>
      <c r="E63" s="109"/>
      <c r="F63" s="109"/>
      <c r="G63" s="109"/>
      <c r="H63" s="109">
        <f t="shared" si="22"/>
        <v>10243886.869999999</v>
      </c>
      <c r="I63" s="109">
        <v>10243886.869999999</v>
      </c>
      <c r="J63" s="27"/>
      <c r="K63" s="27"/>
      <c r="L63" s="52"/>
      <c r="M63" s="51"/>
      <c r="N63" s="79"/>
    </row>
    <row r="64" spans="1:14" ht="38.25" x14ac:dyDescent="0.2">
      <c r="A64" s="100" t="s">
        <v>196</v>
      </c>
      <c r="B64" s="212"/>
      <c r="C64" s="233"/>
      <c r="D64" s="234"/>
      <c r="E64" s="221"/>
      <c r="F64" s="221"/>
      <c r="G64" s="221"/>
      <c r="H64" s="348">
        <f t="shared" ref="H64:H66" si="23">I64+J64+K64</f>
        <v>285.11</v>
      </c>
      <c r="I64" s="268">
        <v>285.11</v>
      </c>
      <c r="J64" s="27"/>
      <c r="K64" s="27"/>
      <c r="L64" s="52"/>
      <c r="M64" s="51"/>
      <c r="N64" s="79"/>
    </row>
    <row r="65" spans="1:14" ht="38.25" x14ac:dyDescent="0.2">
      <c r="A65" s="100" t="s">
        <v>197</v>
      </c>
      <c r="B65" s="212"/>
      <c r="C65" s="233"/>
      <c r="D65" s="234"/>
      <c r="E65" s="221"/>
      <c r="F65" s="221"/>
      <c r="G65" s="221"/>
      <c r="H65" s="268">
        <f t="shared" si="23"/>
        <v>-125168.34</v>
      </c>
      <c r="I65" s="268">
        <v>-125168.34</v>
      </c>
      <c r="J65" s="27"/>
      <c r="K65" s="27"/>
      <c r="L65" s="79"/>
      <c r="M65" s="51"/>
      <c r="N65" s="79"/>
    </row>
    <row r="66" spans="1:14" ht="41.25" customHeight="1" thickBot="1" x14ac:dyDescent="0.25">
      <c r="A66" s="90" t="s">
        <v>198</v>
      </c>
      <c r="B66" s="222"/>
      <c r="C66" s="235"/>
      <c r="D66" s="236"/>
      <c r="E66" s="217"/>
      <c r="F66" s="217"/>
      <c r="G66" s="217"/>
      <c r="H66" s="269">
        <f t="shared" si="23"/>
        <v>154890.07999999999</v>
      </c>
      <c r="I66" s="269">
        <v>154890.07999999999</v>
      </c>
      <c r="J66" s="29"/>
      <c r="K66" s="29"/>
      <c r="L66" s="79"/>
      <c r="M66" s="51"/>
      <c r="N66" s="79"/>
    </row>
    <row r="67" spans="1:14" ht="51" x14ac:dyDescent="0.2">
      <c r="A67" s="94" t="s">
        <v>301</v>
      </c>
      <c r="B67" s="99" t="s">
        <v>127</v>
      </c>
      <c r="C67" s="89" t="s">
        <v>302</v>
      </c>
      <c r="D67" s="266" t="s">
        <v>128</v>
      </c>
      <c r="E67" s="108">
        <v>220000000</v>
      </c>
      <c r="F67" s="108">
        <v>779953.1</v>
      </c>
      <c r="G67" s="108">
        <f>E67-F67</f>
        <v>219220046.90000001</v>
      </c>
      <c r="H67" s="108">
        <f>I67+J67+K67</f>
        <v>4788577.96</v>
      </c>
      <c r="I67" s="108">
        <f>SUM(I68:I69)</f>
        <v>4788577.96</v>
      </c>
      <c r="J67" s="108">
        <f t="shared" ref="J67:K67" si="24">SUM(J68:J69)</f>
        <v>0</v>
      </c>
      <c r="K67" s="108">
        <f t="shared" si="24"/>
        <v>0</v>
      </c>
      <c r="L67" s="52"/>
      <c r="M67" s="51"/>
      <c r="N67" s="79"/>
    </row>
    <row r="68" spans="1:14" ht="25.5" x14ac:dyDescent="0.2">
      <c r="A68" s="100" t="s">
        <v>303</v>
      </c>
      <c r="B68" s="95" t="s">
        <v>304</v>
      </c>
      <c r="C68" s="114"/>
      <c r="D68" s="371"/>
      <c r="E68" s="109"/>
      <c r="F68" s="221"/>
      <c r="G68" s="221"/>
      <c r="H68" s="109">
        <f>SUM(I68:K68)</f>
        <v>3514815.7</v>
      </c>
      <c r="I68" s="109">
        <f>2973285.7+541530</f>
        <v>3514815.7</v>
      </c>
      <c r="J68" s="27"/>
      <c r="K68" s="27"/>
      <c r="L68" s="52"/>
      <c r="M68" s="51"/>
      <c r="N68" s="79"/>
    </row>
    <row r="69" spans="1:14" ht="26.25" thickBot="1" x14ac:dyDescent="0.25">
      <c r="A69" s="370" t="s">
        <v>298</v>
      </c>
      <c r="B69" s="346" t="s">
        <v>299</v>
      </c>
      <c r="C69" s="113"/>
      <c r="D69" s="347"/>
      <c r="E69" s="132"/>
      <c r="F69" s="350"/>
      <c r="G69" s="350"/>
      <c r="H69" s="109">
        <f>SUM(I69:K69)</f>
        <v>1273762.26</v>
      </c>
      <c r="I69" s="132">
        <v>1273762.26</v>
      </c>
      <c r="J69" s="276"/>
      <c r="K69" s="276"/>
      <c r="L69" s="52"/>
      <c r="M69" s="51"/>
      <c r="N69" s="79"/>
    </row>
    <row r="70" spans="1:14" ht="26.25" thickBot="1" x14ac:dyDescent="0.25">
      <c r="A70" s="341" t="s">
        <v>120</v>
      </c>
      <c r="B70" s="57"/>
      <c r="C70" s="57"/>
      <c r="D70" s="57"/>
      <c r="E70" s="58"/>
      <c r="F70" s="58"/>
      <c r="G70" s="58"/>
      <c r="H70" s="59">
        <f>H18++H56</f>
        <v>1882588327.3499999</v>
      </c>
      <c r="I70" s="59">
        <f>SUM(I71:I91)</f>
        <v>1272790010.3399999</v>
      </c>
      <c r="J70" s="59">
        <f>SUM(J71:J91)</f>
        <v>609198317.00999999</v>
      </c>
      <c r="K70" s="59">
        <f>SUM(K71:K91)</f>
        <v>600000</v>
      </c>
      <c r="L70" s="207"/>
      <c r="M70" s="101"/>
    </row>
    <row r="71" spans="1:14" ht="25.5" x14ac:dyDescent="0.2">
      <c r="A71" s="164" t="s">
        <v>92</v>
      </c>
      <c r="B71" s="34" t="s">
        <v>296</v>
      </c>
      <c r="C71" s="194"/>
      <c r="D71" s="194"/>
      <c r="E71" s="195"/>
      <c r="F71" s="195"/>
      <c r="G71" s="195"/>
      <c r="H71" s="33">
        <f t="shared" ref="H71:H91" si="25">I71+J71+K71</f>
        <v>5675788.3499999996</v>
      </c>
      <c r="I71" s="81">
        <f>I25+I41+I38+I20</f>
        <v>1352134.73</v>
      </c>
      <c r="J71" s="81">
        <f t="shared" ref="J71:K71" si="26">J25+J41+J38+J20</f>
        <v>3723653.62</v>
      </c>
      <c r="K71" s="81">
        <f t="shared" si="26"/>
        <v>600000</v>
      </c>
      <c r="L71" s="192"/>
      <c r="M71" s="101"/>
    </row>
    <row r="72" spans="1:14" ht="25.5" x14ac:dyDescent="0.2">
      <c r="A72" s="9" t="s">
        <v>94</v>
      </c>
      <c r="B72" s="95" t="s">
        <v>270</v>
      </c>
      <c r="C72" s="69"/>
      <c r="D72" s="69"/>
      <c r="E72" s="70"/>
      <c r="F72" s="70"/>
      <c r="G72" s="70"/>
      <c r="H72" s="8">
        <f t="shared" si="25"/>
        <v>6313074.5800000001</v>
      </c>
      <c r="I72" s="8">
        <f>I26</f>
        <v>3319240.1</v>
      </c>
      <c r="J72" s="8">
        <f t="shared" ref="J72:K72" si="27">J26</f>
        <v>2993834.48</v>
      </c>
      <c r="K72" s="8">
        <f t="shared" si="27"/>
        <v>0</v>
      </c>
    </row>
    <row r="73" spans="1:14" ht="25.5" x14ac:dyDescent="0.2">
      <c r="A73" s="9" t="s">
        <v>95</v>
      </c>
      <c r="B73" s="165" t="s">
        <v>271</v>
      </c>
      <c r="C73" s="69"/>
      <c r="D73" s="69"/>
      <c r="E73" s="70"/>
      <c r="F73" s="70"/>
      <c r="G73" s="70"/>
      <c r="H73" s="8">
        <f t="shared" si="25"/>
        <v>99715783.729999989</v>
      </c>
      <c r="I73" s="8">
        <f>I27</f>
        <v>46800570</v>
      </c>
      <c r="J73" s="8">
        <f t="shared" ref="J73:K73" si="28">J27</f>
        <v>52915213.729999997</v>
      </c>
      <c r="K73" s="8">
        <f t="shared" si="28"/>
        <v>0</v>
      </c>
    </row>
    <row r="74" spans="1:14" ht="25.5" x14ac:dyDescent="0.2">
      <c r="A74" s="9" t="s">
        <v>47</v>
      </c>
      <c r="B74" s="5" t="s">
        <v>272</v>
      </c>
      <c r="C74" s="69"/>
      <c r="D74" s="69"/>
      <c r="E74" s="70"/>
      <c r="F74" s="70"/>
      <c r="G74" s="70"/>
      <c r="H74" s="8">
        <f t="shared" si="25"/>
        <v>525278600</v>
      </c>
      <c r="I74" s="8">
        <f>I28</f>
        <v>281804200</v>
      </c>
      <c r="J74" s="8">
        <f t="shared" ref="J74:K74" si="29">J28</f>
        <v>243474400</v>
      </c>
      <c r="K74" s="8">
        <f t="shared" si="29"/>
        <v>0</v>
      </c>
    </row>
    <row r="75" spans="1:14" ht="25.5" x14ac:dyDescent="0.2">
      <c r="A75" s="100" t="s">
        <v>91</v>
      </c>
      <c r="B75" s="5" t="s">
        <v>261</v>
      </c>
      <c r="C75" s="69"/>
      <c r="D75" s="69"/>
      <c r="E75" s="70"/>
      <c r="F75" s="70"/>
      <c r="G75" s="70"/>
      <c r="H75" s="8">
        <f t="shared" si="25"/>
        <v>9158344.4499999993</v>
      </c>
      <c r="I75" s="8">
        <f>I33</f>
        <v>9158344.4499999993</v>
      </c>
      <c r="J75" s="8">
        <f t="shared" ref="J75:K75" si="30">J33</f>
        <v>0</v>
      </c>
      <c r="K75" s="8">
        <f t="shared" si="30"/>
        <v>0</v>
      </c>
    </row>
    <row r="76" spans="1:14" ht="25.5" x14ac:dyDescent="0.2">
      <c r="A76" s="100" t="s">
        <v>39</v>
      </c>
      <c r="B76" s="5" t="s">
        <v>262</v>
      </c>
      <c r="C76" s="69"/>
      <c r="D76" s="69"/>
      <c r="E76" s="70"/>
      <c r="F76" s="70"/>
      <c r="G76" s="70"/>
      <c r="H76" s="8">
        <f t="shared" si="25"/>
        <v>906676100</v>
      </c>
      <c r="I76" s="8">
        <f>I34</f>
        <v>906676100</v>
      </c>
      <c r="J76" s="8">
        <f t="shared" ref="J76:K76" si="31">J34</f>
        <v>0</v>
      </c>
      <c r="K76" s="8">
        <f t="shared" si="31"/>
        <v>0</v>
      </c>
    </row>
    <row r="77" spans="1:14" ht="25.5" x14ac:dyDescent="0.2">
      <c r="A77" s="100" t="s">
        <v>308</v>
      </c>
      <c r="B77" s="95" t="s">
        <v>307</v>
      </c>
      <c r="C77" s="69"/>
      <c r="D77" s="69"/>
      <c r="E77" s="70"/>
      <c r="F77" s="70"/>
      <c r="G77" s="70"/>
      <c r="H77" s="8">
        <f t="shared" si="25"/>
        <v>304246.68</v>
      </c>
      <c r="I77" s="8">
        <f>I52</f>
        <v>304246.68</v>
      </c>
      <c r="J77" s="8">
        <f t="shared" ref="J77:K77" si="32">J52</f>
        <v>0</v>
      </c>
      <c r="K77" s="8">
        <f t="shared" si="32"/>
        <v>0</v>
      </c>
    </row>
    <row r="78" spans="1:14" ht="25.5" x14ac:dyDescent="0.2">
      <c r="A78" s="197" t="s">
        <v>308</v>
      </c>
      <c r="B78" s="206" t="s">
        <v>310</v>
      </c>
      <c r="C78" s="69"/>
      <c r="D78" s="69"/>
      <c r="E78" s="70"/>
      <c r="F78" s="70"/>
      <c r="G78" s="70"/>
      <c r="H78" s="8">
        <f t="shared" si="25"/>
        <v>262700.5</v>
      </c>
      <c r="I78" s="8">
        <f>I21</f>
        <v>262700.5</v>
      </c>
      <c r="J78" s="8">
        <f t="shared" ref="J78:K78" si="33">J21</f>
        <v>0</v>
      </c>
      <c r="K78" s="8">
        <f t="shared" si="33"/>
        <v>0</v>
      </c>
    </row>
    <row r="79" spans="1:14" ht="25.5" x14ac:dyDescent="0.2">
      <c r="A79" s="197" t="s">
        <v>308</v>
      </c>
      <c r="B79" s="206" t="s">
        <v>316</v>
      </c>
      <c r="C79" s="69"/>
      <c r="D79" s="69"/>
      <c r="E79" s="70"/>
      <c r="F79" s="70"/>
      <c r="G79" s="70"/>
      <c r="H79" s="8">
        <f t="shared" si="25"/>
        <v>72253.84</v>
      </c>
      <c r="I79" s="8">
        <f>I53</f>
        <v>72253.84</v>
      </c>
      <c r="J79" s="8">
        <f t="shared" ref="J79:K79" si="34">J53</f>
        <v>0</v>
      </c>
      <c r="K79" s="8">
        <f t="shared" si="34"/>
        <v>0</v>
      </c>
    </row>
    <row r="80" spans="1:14" ht="25.5" x14ac:dyDescent="0.2">
      <c r="A80" s="197" t="s">
        <v>256</v>
      </c>
      <c r="B80" s="206" t="s">
        <v>284</v>
      </c>
      <c r="C80" s="69"/>
      <c r="D80" s="69"/>
      <c r="E80" s="70"/>
      <c r="F80" s="70"/>
      <c r="G80" s="70"/>
      <c r="H80" s="8">
        <f t="shared" si="25"/>
        <v>0</v>
      </c>
      <c r="I80" s="8">
        <f>I42</f>
        <v>0</v>
      </c>
      <c r="J80" s="8">
        <f t="shared" ref="J80:K80" si="35">J42</f>
        <v>0</v>
      </c>
      <c r="K80" s="8">
        <f t="shared" si="35"/>
        <v>0</v>
      </c>
    </row>
    <row r="81" spans="1:12" ht="25.5" x14ac:dyDescent="0.2">
      <c r="A81" s="197" t="s">
        <v>256</v>
      </c>
      <c r="B81" s="206" t="s">
        <v>445</v>
      </c>
      <c r="C81" s="69"/>
      <c r="D81" s="69"/>
      <c r="E81" s="70"/>
      <c r="F81" s="70"/>
      <c r="G81" s="70"/>
      <c r="H81" s="8">
        <f t="shared" si="25"/>
        <v>3060912.15</v>
      </c>
      <c r="I81" s="8">
        <f>I43</f>
        <v>0</v>
      </c>
      <c r="J81" s="8">
        <f t="shared" ref="J81:K81" si="36">J43</f>
        <v>3060912.15</v>
      </c>
      <c r="K81" s="8">
        <f t="shared" si="36"/>
        <v>0</v>
      </c>
    </row>
    <row r="82" spans="1:12" ht="25.5" x14ac:dyDescent="0.2">
      <c r="A82" s="197" t="s">
        <v>257</v>
      </c>
      <c r="B82" s="206" t="s">
        <v>445</v>
      </c>
      <c r="C82" s="69"/>
      <c r="D82" s="69"/>
      <c r="E82" s="70"/>
      <c r="F82" s="70"/>
      <c r="G82" s="70"/>
      <c r="H82" s="8">
        <f t="shared" si="25"/>
        <v>3030303.03</v>
      </c>
      <c r="I82" s="8">
        <f>I45</f>
        <v>0</v>
      </c>
      <c r="J82" s="8">
        <f t="shared" ref="J82:K82" si="37">J45</f>
        <v>3030303.03</v>
      </c>
      <c r="K82" s="8">
        <f t="shared" si="37"/>
        <v>0</v>
      </c>
    </row>
    <row r="83" spans="1:12" ht="25.5" x14ac:dyDescent="0.2">
      <c r="A83" s="197" t="s">
        <v>258</v>
      </c>
      <c r="B83" s="206" t="s">
        <v>445</v>
      </c>
      <c r="C83" s="69"/>
      <c r="D83" s="69"/>
      <c r="E83" s="70"/>
      <c r="F83" s="70"/>
      <c r="G83" s="70"/>
      <c r="H83" s="8">
        <f t="shared" si="25"/>
        <v>300000000</v>
      </c>
      <c r="I83" s="8">
        <f>I47</f>
        <v>0</v>
      </c>
      <c r="J83" s="8">
        <f t="shared" ref="J83:K83" si="38">J47</f>
        <v>300000000</v>
      </c>
      <c r="K83" s="8">
        <f t="shared" si="38"/>
        <v>0</v>
      </c>
    </row>
    <row r="84" spans="1:12" ht="25.5" x14ac:dyDescent="0.2">
      <c r="A84" s="100" t="s">
        <v>256</v>
      </c>
      <c r="B84" s="95" t="s">
        <v>278</v>
      </c>
      <c r="C84" s="69"/>
      <c r="D84" s="69"/>
      <c r="E84" s="70"/>
      <c r="F84" s="70"/>
      <c r="G84" s="70"/>
      <c r="H84" s="8">
        <f t="shared" si="25"/>
        <v>0</v>
      </c>
      <c r="I84" s="8">
        <f>I44</f>
        <v>0</v>
      </c>
      <c r="J84" s="8">
        <f t="shared" ref="J84:K84" si="39">J44</f>
        <v>0</v>
      </c>
      <c r="K84" s="8">
        <f t="shared" si="39"/>
        <v>0</v>
      </c>
    </row>
    <row r="85" spans="1:12" ht="25.5" x14ac:dyDescent="0.2">
      <c r="A85" s="9" t="s">
        <v>257</v>
      </c>
      <c r="B85" s="165" t="s">
        <v>279</v>
      </c>
      <c r="C85" s="69"/>
      <c r="D85" s="69"/>
      <c r="E85" s="70"/>
      <c r="F85" s="70"/>
      <c r="G85" s="70"/>
      <c r="H85" s="8">
        <f t="shared" si="25"/>
        <v>0</v>
      </c>
      <c r="I85" s="8">
        <f>I46</f>
        <v>0</v>
      </c>
      <c r="J85" s="8">
        <f>J46</f>
        <v>0</v>
      </c>
      <c r="K85" s="8">
        <f>K46</f>
        <v>0</v>
      </c>
    </row>
    <row r="86" spans="1:12" ht="25.5" x14ac:dyDescent="0.2">
      <c r="A86" s="9" t="s">
        <v>258</v>
      </c>
      <c r="B86" s="5" t="s">
        <v>280</v>
      </c>
      <c r="C86" s="69"/>
      <c r="D86" s="69"/>
      <c r="E86" s="70"/>
      <c r="F86" s="70"/>
      <c r="G86" s="70"/>
      <c r="H86" s="8">
        <f t="shared" si="25"/>
        <v>0</v>
      </c>
      <c r="I86" s="8">
        <f>I48</f>
        <v>0</v>
      </c>
      <c r="J86" s="8">
        <f>J48</f>
        <v>0</v>
      </c>
      <c r="K86" s="8">
        <f>K48</f>
        <v>0</v>
      </c>
    </row>
    <row r="87" spans="1:12" ht="25.5" x14ac:dyDescent="0.2">
      <c r="A87" s="197" t="s">
        <v>313</v>
      </c>
      <c r="B87" s="206" t="s">
        <v>314</v>
      </c>
      <c r="C87" s="69"/>
      <c r="D87" s="69"/>
      <c r="E87" s="70"/>
      <c r="F87" s="70"/>
      <c r="G87" s="70"/>
      <c r="H87" s="8">
        <f t="shared" si="25"/>
        <v>4514480.18</v>
      </c>
      <c r="I87" s="8">
        <f>I55</f>
        <v>4514480.18</v>
      </c>
      <c r="J87" s="8">
        <f>J55</f>
        <v>0</v>
      </c>
      <c r="K87" s="8">
        <f>K55</f>
        <v>0</v>
      </c>
    </row>
    <row r="88" spans="1:12" ht="25.5" x14ac:dyDescent="0.2">
      <c r="A88" s="338" t="s">
        <v>303</v>
      </c>
      <c r="B88" s="206" t="s">
        <v>304</v>
      </c>
      <c r="C88" s="352"/>
      <c r="D88" s="69"/>
      <c r="E88" s="70"/>
      <c r="F88" s="70"/>
      <c r="G88" s="70"/>
      <c r="H88" s="8">
        <f t="shared" si="25"/>
        <v>4063211.7800000003</v>
      </c>
      <c r="I88" s="8">
        <f>I68+I60</f>
        <v>4063211.7800000003</v>
      </c>
      <c r="J88" s="8">
        <f>J68+J60</f>
        <v>0</v>
      </c>
      <c r="K88" s="8">
        <f>K68+K60</f>
        <v>0</v>
      </c>
    </row>
    <row r="89" spans="1:12" ht="25.5" x14ac:dyDescent="0.2">
      <c r="A89" s="197" t="s">
        <v>298</v>
      </c>
      <c r="B89" s="95" t="s">
        <v>300</v>
      </c>
      <c r="C89" s="69"/>
      <c r="D89" s="69"/>
      <c r="E89" s="70"/>
      <c r="F89" s="70"/>
      <c r="G89" s="70"/>
      <c r="H89" s="8">
        <f t="shared" si="25"/>
        <v>3993726.0700000003</v>
      </c>
      <c r="I89" s="8">
        <f>I61+I69</f>
        <v>3993726.0700000003</v>
      </c>
      <c r="J89" s="8">
        <f>J61+J69</f>
        <v>0</v>
      </c>
      <c r="K89" s="8">
        <f>K61+K69</f>
        <v>0</v>
      </c>
    </row>
    <row r="90" spans="1:12" ht="25.5" x14ac:dyDescent="0.2">
      <c r="A90" s="197" t="s">
        <v>344</v>
      </c>
      <c r="B90" s="206" t="s">
        <v>300</v>
      </c>
      <c r="C90" s="69"/>
      <c r="D90" s="69"/>
      <c r="E90" s="70"/>
      <c r="F90" s="70"/>
      <c r="G90" s="70"/>
      <c r="H90" s="8">
        <f t="shared" si="25"/>
        <v>224915.14</v>
      </c>
      <c r="I90" s="8">
        <f t="shared" ref="I90:K91" si="40">I62</f>
        <v>224915.14</v>
      </c>
      <c r="J90" s="8">
        <f t="shared" si="40"/>
        <v>0</v>
      </c>
      <c r="K90" s="8">
        <f t="shared" si="40"/>
        <v>0</v>
      </c>
    </row>
    <row r="91" spans="1:12" ht="26.25" thickBot="1" x14ac:dyDescent="0.25">
      <c r="A91" s="199" t="s">
        <v>343</v>
      </c>
      <c r="B91" s="340" t="s">
        <v>346</v>
      </c>
      <c r="C91" s="372"/>
      <c r="D91" s="372"/>
      <c r="E91" s="373"/>
      <c r="F91" s="373"/>
      <c r="G91" s="373"/>
      <c r="H91" s="13">
        <f t="shared" si="25"/>
        <v>10243886.869999999</v>
      </c>
      <c r="I91" s="13">
        <f t="shared" si="40"/>
        <v>10243886.869999999</v>
      </c>
      <c r="J91" s="13">
        <f t="shared" si="40"/>
        <v>0</v>
      </c>
      <c r="K91" s="13">
        <f t="shared" si="40"/>
        <v>0</v>
      </c>
    </row>
    <row r="92" spans="1:12" ht="21" customHeight="1" thickBot="1" x14ac:dyDescent="0.25">
      <c r="A92" s="417" t="s">
        <v>241</v>
      </c>
      <c r="B92" s="417"/>
      <c r="C92" s="417"/>
      <c r="D92" s="417"/>
      <c r="E92" s="417"/>
      <c r="F92" s="417"/>
      <c r="G92" s="417"/>
      <c r="H92" s="417"/>
      <c r="I92" s="417"/>
      <c r="J92" s="417"/>
      <c r="K92" s="417"/>
    </row>
    <row r="93" spans="1:12" ht="40.5" customHeight="1" thickBot="1" x14ac:dyDescent="0.25">
      <c r="A93" s="10" t="s">
        <v>106</v>
      </c>
      <c r="B93" s="48"/>
      <c r="C93" s="290"/>
      <c r="D93" s="290"/>
      <c r="E93" s="290"/>
      <c r="F93" s="290"/>
      <c r="G93" s="290"/>
      <c r="H93" s="291">
        <f t="shared" ref="H93:H169" si="41">I93+J93+K93</f>
        <v>20604854.300000001</v>
      </c>
      <c r="I93" s="291">
        <f>I94+I119</f>
        <v>20604854.300000001</v>
      </c>
      <c r="J93" s="291">
        <f t="shared" ref="J93:K93" si="42">J94+J119</f>
        <v>0</v>
      </c>
      <c r="K93" s="291">
        <f t="shared" si="42"/>
        <v>0</v>
      </c>
    </row>
    <row r="94" spans="1:12" ht="43.5" customHeight="1" thickBot="1" x14ac:dyDescent="0.25">
      <c r="A94" s="55" t="s">
        <v>77</v>
      </c>
      <c r="B94" s="48"/>
      <c r="C94" s="290"/>
      <c r="D94" s="290"/>
      <c r="E94" s="290"/>
      <c r="F94" s="290"/>
      <c r="G94" s="290"/>
      <c r="H94" s="288">
        <f t="shared" si="41"/>
        <v>13056854.300000001</v>
      </c>
      <c r="I94" s="288">
        <f>I95+I99+I103+I107+I111+I115+I113+I117</f>
        <v>13056854.300000001</v>
      </c>
      <c r="J94" s="288">
        <f t="shared" ref="J94:K94" si="43">J95+J99+J103+J107+J111+J115+J113+J117</f>
        <v>0</v>
      </c>
      <c r="K94" s="288">
        <f t="shared" si="43"/>
        <v>0</v>
      </c>
      <c r="L94" s="3"/>
    </row>
    <row r="95" spans="1:12" ht="159.75" customHeight="1" x14ac:dyDescent="0.2">
      <c r="A95" s="136" t="s">
        <v>48</v>
      </c>
      <c r="B95" s="34" t="s">
        <v>139</v>
      </c>
      <c r="C95" s="89" t="s">
        <v>71</v>
      </c>
      <c r="D95" s="89" t="s">
        <v>128</v>
      </c>
      <c r="E95" s="108">
        <v>97965289.659999996</v>
      </c>
      <c r="F95" s="264">
        <v>29369698.510000002</v>
      </c>
      <c r="G95" s="264">
        <f>E95-F95</f>
        <v>68595591.149999991</v>
      </c>
      <c r="H95" s="40">
        <f t="shared" ref="H95:H96" si="44">I95+J95+K95</f>
        <v>3426464.83</v>
      </c>
      <c r="I95" s="40">
        <f>SUM(I96)</f>
        <v>3426464.83</v>
      </c>
      <c r="J95" s="40">
        <f>SUM(J96)</f>
        <v>0</v>
      </c>
      <c r="K95" s="40">
        <f>SUM(K96)</f>
        <v>0</v>
      </c>
      <c r="L95" s="52"/>
    </row>
    <row r="96" spans="1:12" ht="25.5" x14ac:dyDescent="0.2">
      <c r="A96" s="197" t="s">
        <v>319</v>
      </c>
      <c r="B96" s="206" t="s">
        <v>334</v>
      </c>
      <c r="C96" s="159"/>
      <c r="D96" s="159"/>
      <c r="E96" s="157"/>
      <c r="F96" s="205"/>
      <c r="G96" s="205"/>
      <c r="H96" s="27">
        <f t="shared" si="44"/>
        <v>3426464.83</v>
      </c>
      <c r="I96" s="27">
        <v>3426464.83</v>
      </c>
      <c r="J96" s="27"/>
      <c r="K96" s="27"/>
      <c r="L96" s="52"/>
    </row>
    <row r="97" spans="1:14" ht="39.75" customHeight="1" x14ac:dyDescent="0.2">
      <c r="A97" s="9" t="s">
        <v>199</v>
      </c>
      <c r="B97" s="5"/>
      <c r="C97" s="100"/>
      <c r="D97" s="100"/>
      <c r="E97" s="270"/>
      <c r="F97" s="239"/>
      <c r="G97" s="239"/>
      <c r="H97" s="268">
        <f t="shared" si="41"/>
        <v>1468484.93</v>
      </c>
      <c r="I97" s="271">
        <v>1468484.93</v>
      </c>
      <c r="J97" s="27"/>
      <c r="K97" s="27"/>
      <c r="L97" s="52"/>
    </row>
    <row r="98" spans="1:14" ht="41.25" customHeight="1" thickBot="1" x14ac:dyDescent="0.25">
      <c r="A98" s="16" t="s">
        <v>200</v>
      </c>
      <c r="B98" s="6"/>
      <c r="C98" s="90"/>
      <c r="D98" s="90"/>
      <c r="E98" s="90"/>
      <c r="F98" s="224"/>
      <c r="G98" s="224"/>
      <c r="H98" s="269">
        <f t="shared" si="41"/>
        <v>27901213.579999998</v>
      </c>
      <c r="I98" s="269">
        <v>27901213.579999998</v>
      </c>
      <c r="J98" s="29"/>
      <c r="K98" s="29"/>
      <c r="L98" s="52"/>
      <c r="M98" s="52"/>
    </row>
    <row r="99" spans="1:14" ht="156.75" customHeight="1" x14ac:dyDescent="0.2">
      <c r="A99" s="136" t="s">
        <v>288</v>
      </c>
      <c r="B99" s="34" t="s">
        <v>139</v>
      </c>
      <c r="C99" s="89" t="s">
        <v>72</v>
      </c>
      <c r="D99" s="89" t="s">
        <v>128</v>
      </c>
      <c r="E99" s="108">
        <v>102276224.11</v>
      </c>
      <c r="F99" s="264">
        <v>30662102.670000002</v>
      </c>
      <c r="G99" s="264">
        <f>E99-F99</f>
        <v>71614121.439999998</v>
      </c>
      <c r="H99" s="40">
        <f t="shared" ref="H99:H100" si="45">I99+J99+K99</f>
        <v>3577245.31</v>
      </c>
      <c r="I99" s="40">
        <f>SUM(I100)</f>
        <v>3577245.31</v>
      </c>
      <c r="J99" s="40">
        <f>SUM(J100)</f>
        <v>0</v>
      </c>
      <c r="K99" s="40">
        <f>SUM(K100)</f>
        <v>0</v>
      </c>
      <c r="L99" s="52"/>
    </row>
    <row r="100" spans="1:14" ht="25.5" x14ac:dyDescent="0.2">
      <c r="A100" s="197" t="s">
        <v>319</v>
      </c>
      <c r="B100" s="206" t="s">
        <v>340</v>
      </c>
      <c r="C100" s="114"/>
      <c r="D100" s="114"/>
      <c r="E100" s="109"/>
      <c r="F100" s="309"/>
      <c r="G100" s="309"/>
      <c r="H100" s="27">
        <f t="shared" si="45"/>
        <v>3577245.31</v>
      </c>
      <c r="I100" s="27">
        <v>3577245.31</v>
      </c>
      <c r="J100" s="27"/>
      <c r="K100" s="27"/>
      <c r="L100" s="52"/>
    </row>
    <row r="101" spans="1:14" ht="38.25" x14ac:dyDescent="0.2">
      <c r="A101" s="75" t="s">
        <v>199</v>
      </c>
      <c r="B101" s="367"/>
      <c r="C101" s="364"/>
      <c r="D101" s="364"/>
      <c r="E101" s="240"/>
      <c r="F101" s="213"/>
      <c r="G101" s="213"/>
      <c r="H101" s="272">
        <f t="shared" si="41"/>
        <v>1533105.14</v>
      </c>
      <c r="I101" s="272">
        <v>1533105.14</v>
      </c>
      <c r="J101" s="273"/>
      <c r="K101" s="273"/>
      <c r="L101" s="52"/>
    </row>
    <row r="102" spans="1:14" ht="39" thickBot="1" x14ac:dyDescent="0.25">
      <c r="A102" s="16" t="s">
        <v>200</v>
      </c>
      <c r="B102" s="218"/>
      <c r="C102" s="224"/>
      <c r="D102" s="224"/>
      <c r="E102" s="224"/>
      <c r="F102" s="224"/>
      <c r="G102" s="224"/>
      <c r="H102" s="274">
        <f t="shared" si="41"/>
        <v>29128997.530000001</v>
      </c>
      <c r="I102" s="274">
        <v>29128997.530000001</v>
      </c>
      <c r="J102" s="275"/>
      <c r="K102" s="275"/>
      <c r="L102" s="52"/>
      <c r="M102" s="52"/>
      <c r="N102" s="52"/>
    </row>
    <row r="103" spans="1:14" ht="119.25" customHeight="1" x14ac:dyDescent="0.2">
      <c r="A103" s="94" t="s">
        <v>2</v>
      </c>
      <c r="B103" s="34" t="s">
        <v>139</v>
      </c>
      <c r="C103" s="89" t="s">
        <v>3</v>
      </c>
      <c r="D103" s="89" t="s">
        <v>128</v>
      </c>
      <c r="E103" s="108">
        <v>41116065.289999999</v>
      </c>
      <c r="F103" s="264">
        <v>12334819.59</v>
      </c>
      <c r="G103" s="264">
        <f>E103-F103</f>
        <v>28781245.699999999</v>
      </c>
      <c r="H103" s="40">
        <f t="shared" si="41"/>
        <v>1439062.29</v>
      </c>
      <c r="I103" s="40">
        <f>SUM(I104)</f>
        <v>1439062.29</v>
      </c>
      <c r="J103" s="40">
        <f>SUM(J104)</f>
        <v>0</v>
      </c>
      <c r="K103" s="40">
        <f>SUM(K104)</f>
        <v>0</v>
      </c>
      <c r="L103" s="52"/>
      <c r="M103" s="52"/>
      <c r="N103" s="52"/>
    </row>
    <row r="104" spans="1:14" ht="25.5" x14ac:dyDescent="0.2">
      <c r="A104" s="197" t="s">
        <v>319</v>
      </c>
      <c r="B104" s="206" t="s">
        <v>322</v>
      </c>
      <c r="C104" s="114"/>
      <c r="D104" s="114"/>
      <c r="E104" s="109"/>
      <c r="F104" s="309"/>
      <c r="G104" s="309"/>
      <c r="H104" s="27">
        <f t="shared" si="41"/>
        <v>1439062.29</v>
      </c>
      <c r="I104" s="27">
        <v>1439062.29</v>
      </c>
      <c r="J104" s="27"/>
      <c r="K104" s="27"/>
      <c r="L104" s="52"/>
      <c r="M104" s="52"/>
      <c r="N104" s="52"/>
    </row>
    <row r="105" spans="1:14" ht="38.25" x14ac:dyDescent="0.2">
      <c r="A105" s="75" t="s">
        <v>199</v>
      </c>
      <c r="B105" s="363"/>
      <c r="C105" s="364"/>
      <c r="D105" s="364"/>
      <c r="E105" s="364"/>
      <c r="F105" s="364"/>
      <c r="G105" s="364"/>
      <c r="H105" s="267">
        <f t="shared" ref="H105:H108" si="46">I105+J105+K105</f>
        <v>616740.98</v>
      </c>
      <c r="I105" s="267">
        <v>616740.98</v>
      </c>
      <c r="J105" s="276"/>
      <c r="K105" s="276"/>
      <c r="L105" s="52"/>
      <c r="M105" s="52"/>
      <c r="N105" s="52"/>
    </row>
    <row r="106" spans="1:14" ht="39" thickBot="1" x14ac:dyDescent="0.25">
      <c r="A106" s="16" t="s">
        <v>200</v>
      </c>
      <c r="B106" s="218"/>
      <c r="C106" s="227"/>
      <c r="D106" s="227"/>
      <c r="E106" s="227"/>
      <c r="F106" s="227"/>
      <c r="G106" s="227"/>
      <c r="H106" s="269">
        <f t="shared" si="46"/>
        <v>11718078.609999999</v>
      </c>
      <c r="I106" s="269">
        <v>11718078.609999999</v>
      </c>
      <c r="J106" s="29"/>
      <c r="K106" s="29"/>
      <c r="L106" s="52"/>
      <c r="M106" s="52"/>
      <c r="N106" s="52"/>
    </row>
    <row r="107" spans="1:14" ht="80.25" customHeight="1" x14ac:dyDescent="0.2">
      <c r="A107" s="94" t="s">
        <v>289</v>
      </c>
      <c r="B107" s="34" t="s">
        <v>139</v>
      </c>
      <c r="C107" s="89" t="s">
        <v>1</v>
      </c>
      <c r="D107" s="89" t="s">
        <v>128</v>
      </c>
      <c r="E107" s="108">
        <v>80230429.609999999</v>
      </c>
      <c r="F107" s="264">
        <v>24069128.879999999</v>
      </c>
      <c r="G107" s="264">
        <f>E107-F107</f>
        <v>56161300.730000004</v>
      </c>
      <c r="H107" s="40">
        <f t="shared" si="46"/>
        <v>2808065.04</v>
      </c>
      <c r="I107" s="40">
        <f>SUM(I108)</f>
        <v>2808065.04</v>
      </c>
      <c r="J107" s="40">
        <f>SUM(J108)</f>
        <v>0</v>
      </c>
      <c r="K107" s="40">
        <f>SUM(K108)</f>
        <v>0</v>
      </c>
      <c r="L107" s="52"/>
      <c r="M107" s="52"/>
      <c r="N107" s="52"/>
    </row>
    <row r="108" spans="1:14" ht="25.5" x14ac:dyDescent="0.2">
      <c r="A108" s="197" t="s">
        <v>319</v>
      </c>
      <c r="B108" s="206" t="s">
        <v>328</v>
      </c>
      <c r="C108" s="114"/>
      <c r="D108" s="114"/>
      <c r="E108" s="109"/>
      <c r="F108" s="309"/>
      <c r="G108" s="309"/>
      <c r="H108" s="27">
        <f t="shared" si="46"/>
        <v>2808065.04</v>
      </c>
      <c r="I108" s="27">
        <v>2808065.04</v>
      </c>
      <c r="J108" s="27"/>
      <c r="K108" s="27"/>
      <c r="L108" s="52"/>
      <c r="M108" s="52"/>
      <c r="N108" s="52"/>
    </row>
    <row r="109" spans="1:14" ht="38.25" x14ac:dyDescent="0.2">
      <c r="A109" s="75" t="s">
        <v>199</v>
      </c>
      <c r="B109" s="363"/>
      <c r="C109" s="364"/>
      <c r="D109" s="364"/>
      <c r="E109" s="364"/>
      <c r="F109" s="364"/>
      <c r="G109" s="364"/>
      <c r="H109" s="267">
        <f t="shared" ref="H109:H112" si="47">I109+J109+K109</f>
        <v>1203456.44</v>
      </c>
      <c r="I109" s="267">
        <v>1203456.44</v>
      </c>
      <c r="J109" s="276"/>
      <c r="K109" s="276"/>
      <c r="L109" s="52"/>
      <c r="M109" s="52"/>
      <c r="N109" s="52"/>
    </row>
    <row r="110" spans="1:14" ht="39" thickBot="1" x14ac:dyDescent="0.25">
      <c r="A110" s="16" t="s">
        <v>200</v>
      </c>
      <c r="B110" s="218"/>
      <c r="C110" s="227"/>
      <c r="D110" s="227"/>
      <c r="E110" s="227"/>
      <c r="F110" s="227"/>
      <c r="G110" s="227"/>
      <c r="H110" s="269">
        <f t="shared" si="47"/>
        <v>22865672.440000001</v>
      </c>
      <c r="I110" s="269">
        <v>22865672.440000001</v>
      </c>
      <c r="J110" s="29"/>
      <c r="K110" s="29"/>
      <c r="L110" s="52"/>
      <c r="M110" s="52"/>
      <c r="N110" s="52"/>
    </row>
    <row r="111" spans="1:14" ht="89.25" x14ac:dyDescent="0.2">
      <c r="A111" s="94" t="s">
        <v>317</v>
      </c>
      <c r="B111" s="34" t="s">
        <v>139</v>
      </c>
      <c r="C111" s="307" t="s">
        <v>318</v>
      </c>
      <c r="D111" s="307" t="s">
        <v>128</v>
      </c>
      <c r="E111" s="264">
        <f>F111+G111</f>
        <v>22719873.950000003</v>
      </c>
      <c r="F111" s="264">
        <v>19268694.010000002</v>
      </c>
      <c r="G111" s="264">
        <v>3451179.94</v>
      </c>
      <c r="H111" s="40">
        <f t="shared" si="47"/>
        <v>172559</v>
      </c>
      <c r="I111" s="40">
        <f>SUM(I112)</f>
        <v>172559</v>
      </c>
      <c r="J111" s="40">
        <f>SUM(J112)</f>
        <v>0</v>
      </c>
      <c r="K111" s="40">
        <f>SUM(K112)</f>
        <v>0</v>
      </c>
      <c r="L111" s="52"/>
      <c r="M111" s="52"/>
      <c r="N111" s="52"/>
    </row>
    <row r="112" spans="1:14" ht="26.25" thickBot="1" x14ac:dyDescent="0.25">
      <c r="A112" s="199" t="s">
        <v>319</v>
      </c>
      <c r="B112" s="340" t="s">
        <v>320</v>
      </c>
      <c r="C112" s="362"/>
      <c r="D112" s="362"/>
      <c r="E112" s="362"/>
      <c r="F112" s="362"/>
      <c r="G112" s="362"/>
      <c r="H112" s="29">
        <f t="shared" si="47"/>
        <v>172559</v>
      </c>
      <c r="I112" s="29">
        <v>172559</v>
      </c>
      <c r="J112" s="29"/>
      <c r="K112" s="29"/>
      <c r="L112" s="52"/>
      <c r="M112" s="52"/>
      <c r="N112" s="52"/>
    </row>
    <row r="113" spans="1:14" ht="102" x14ac:dyDescent="0.2">
      <c r="A113" s="94" t="s">
        <v>330</v>
      </c>
      <c r="B113" s="34" t="s">
        <v>139</v>
      </c>
      <c r="C113" s="307" t="s">
        <v>331</v>
      </c>
      <c r="D113" s="307" t="s">
        <v>128</v>
      </c>
      <c r="E113" s="264">
        <f>F113+G113</f>
        <v>42757066.140000001</v>
      </c>
      <c r="F113" s="264">
        <v>21778689.93</v>
      </c>
      <c r="G113" s="264">
        <v>20978376.210000001</v>
      </c>
      <c r="H113" s="40">
        <f t="shared" ref="H113:H114" si="48">I113+J113+K113</f>
        <v>1048918.81</v>
      </c>
      <c r="I113" s="40">
        <f>SUM(I114)</f>
        <v>1048918.81</v>
      </c>
      <c r="J113" s="40">
        <f>SUM(J114)</f>
        <v>0</v>
      </c>
      <c r="K113" s="40">
        <f>SUM(K114)</f>
        <v>0</v>
      </c>
      <c r="L113" s="52"/>
      <c r="M113" s="52"/>
      <c r="N113" s="52"/>
    </row>
    <row r="114" spans="1:14" ht="26.25" thickBot="1" x14ac:dyDescent="0.25">
      <c r="A114" s="199" t="s">
        <v>319</v>
      </c>
      <c r="B114" s="340" t="s">
        <v>332</v>
      </c>
      <c r="C114" s="362"/>
      <c r="D114" s="362"/>
      <c r="E114" s="362"/>
      <c r="F114" s="362"/>
      <c r="G114" s="362"/>
      <c r="H114" s="29">
        <f t="shared" si="48"/>
        <v>1048918.81</v>
      </c>
      <c r="I114" s="29">
        <v>1048918.81</v>
      </c>
      <c r="J114" s="29"/>
      <c r="K114" s="29"/>
      <c r="L114" s="52"/>
      <c r="M114" s="52"/>
      <c r="N114" s="52"/>
    </row>
    <row r="115" spans="1:14" ht="102" x14ac:dyDescent="0.2">
      <c r="A115" s="94" t="s">
        <v>324</v>
      </c>
      <c r="B115" s="34" t="s">
        <v>139</v>
      </c>
      <c r="C115" s="307" t="s">
        <v>325</v>
      </c>
      <c r="D115" s="307" t="s">
        <v>128</v>
      </c>
      <c r="E115" s="264">
        <v>29779877.280000001</v>
      </c>
      <c r="F115" s="264">
        <v>20875651.100000001</v>
      </c>
      <c r="G115" s="264">
        <f>E115-F115</f>
        <v>8904226.1799999997</v>
      </c>
      <c r="H115" s="40">
        <f t="shared" ref="H115:H116" si="49">I115+J115+K115</f>
        <v>445211.31</v>
      </c>
      <c r="I115" s="40">
        <f>SUM(I116)</f>
        <v>445211.31</v>
      </c>
      <c r="J115" s="40">
        <f>SUM(J116)</f>
        <v>0</v>
      </c>
      <c r="K115" s="40">
        <f>SUM(K116)</f>
        <v>0</v>
      </c>
      <c r="L115" s="52"/>
      <c r="M115" s="52"/>
      <c r="N115" s="52"/>
    </row>
    <row r="116" spans="1:14" ht="26.25" thickBot="1" x14ac:dyDescent="0.25">
      <c r="A116" s="199" t="s">
        <v>319</v>
      </c>
      <c r="B116" s="340" t="s">
        <v>326</v>
      </c>
      <c r="C116" s="362"/>
      <c r="D116" s="362"/>
      <c r="E116" s="362"/>
      <c r="F116" s="362"/>
      <c r="G116" s="362"/>
      <c r="H116" s="29">
        <f t="shared" si="49"/>
        <v>445211.31</v>
      </c>
      <c r="I116" s="29">
        <v>445211.31</v>
      </c>
      <c r="J116" s="29"/>
      <c r="K116" s="29"/>
      <c r="L116" s="52"/>
      <c r="M116" s="52"/>
      <c r="N116" s="52"/>
    </row>
    <row r="117" spans="1:14" ht="127.5" x14ac:dyDescent="0.2">
      <c r="A117" s="368" t="s">
        <v>337</v>
      </c>
      <c r="B117" s="346" t="s">
        <v>139</v>
      </c>
      <c r="C117" s="393" t="s">
        <v>338</v>
      </c>
      <c r="D117" s="393" t="s">
        <v>128</v>
      </c>
      <c r="E117" s="273">
        <f>F117+G117</f>
        <v>162698239.62</v>
      </c>
      <c r="F117" s="273">
        <v>159911685.46000001</v>
      </c>
      <c r="G117" s="273">
        <v>2786554.16</v>
      </c>
      <c r="H117" s="40">
        <f t="shared" ref="H117:H118" si="50">I117+J117+K117</f>
        <v>139327.71</v>
      </c>
      <c r="I117" s="40">
        <f>SUM(I118)</f>
        <v>139327.71</v>
      </c>
      <c r="J117" s="40">
        <f>SUM(J118)</f>
        <v>0</v>
      </c>
      <c r="K117" s="40">
        <f>SUM(K118)</f>
        <v>0</v>
      </c>
      <c r="L117" s="52"/>
      <c r="M117" s="52"/>
      <c r="N117" s="52"/>
    </row>
    <row r="118" spans="1:14" ht="26.25" thickBot="1" x14ac:dyDescent="0.25">
      <c r="A118" s="197" t="s">
        <v>319</v>
      </c>
      <c r="B118" s="206" t="s">
        <v>339</v>
      </c>
      <c r="C118" s="361"/>
      <c r="D118" s="361"/>
      <c r="E118" s="361"/>
      <c r="F118" s="361"/>
      <c r="G118" s="361"/>
      <c r="H118" s="29">
        <f t="shared" si="50"/>
        <v>139327.71</v>
      </c>
      <c r="I118" s="29">
        <v>139327.71</v>
      </c>
      <c r="J118" s="29"/>
      <c r="K118" s="29"/>
      <c r="L118" s="52"/>
      <c r="M118" s="52"/>
      <c r="N118" s="52"/>
    </row>
    <row r="119" spans="1:14" ht="77.25" thickBot="1" x14ac:dyDescent="0.25">
      <c r="A119" s="31" t="s">
        <v>154</v>
      </c>
      <c r="B119" s="331"/>
      <c r="C119" s="332"/>
      <c r="D119" s="332"/>
      <c r="E119" s="332"/>
      <c r="F119" s="332"/>
      <c r="G119" s="332"/>
      <c r="H119" s="291">
        <f t="shared" ref="H119:H128" si="51">SUM(I119:K119)</f>
        <v>7548000</v>
      </c>
      <c r="I119" s="291">
        <f>I120+I123+I126</f>
        <v>7548000</v>
      </c>
      <c r="J119" s="291">
        <f t="shared" ref="J119:K119" si="52">J120+J123+J126</f>
        <v>0</v>
      </c>
      <c r="K119" s="291">
        <f t="shared" si="52"/>
        <v>0</v>
      </c>
      <c r="L119" s="52"/>
      <c r="M119" s="52"/>
      <c r="N119" s="52"/>
    </row>
    <row r="120" spans="1:14" ht="76.5" x14ac:dyDescent="0.2">
      <c r="A120" s="94" t="s">
        <v>155</v>
      </c>
      <c r="B120" s="34" t="s">
        <v>119</v>
      </c>
      <c r="C120" s="89" t="s">
        <v>156</v>
      </c>
      <c r="D120" s="89" t="s">
        <v>128</v>
      </c>
      <c r="E120" s="264">
        <v>252242850</v>
      </c>
      <c r="F120" s="264">
        <v>1737600</v>
      </c>
      <c r="G120" s="264">
        <f>E120-F120</f>
        <v>250505250</v>
      </c>
      <c r="H120" s="40">
        <f t="shared" si="51"/>
        <v>3477600</v>
      </c>
      <c r="I120" s="40">
        <f>SUM(I121)</f>
        <v>3477600</v>
      </c>
      <c r="J120" s="40">
        <f t="shared" ref="J120:K120" si="53">SUM(J121)</f>
        <v>0</v>
      </c>
      <c r="K120" s="40">
        <f t="shared" si="53"/>
        <v>0</v>
      </c>
      <c r="L120" s="52"/>
      <c r="M120" s="52"/>
      <c r="N120" s="52"/>
    </row>
    <row r="121" spans="1:14" ht="25.5" x14ac:dyDescent="0.2">
      <c r="A121" s="100" t="s">
        <v>347</v>
      </c>
      <c r="B121" s="5" t="s">
        <v>348</v>
      </c>
      <c r="C121" s="114"/>
      <c r="D121" s="114"/>
      <c r="E121" s="309"/>
      <c r="F121" s="309"/>
      <c r="G121" s="309"/>
      <c r="H121" s="27">
        <f>I121+J121+K121</f>
        <v>3477600</v>
      </c>
      <c r="I121" s="27">
        <v>3477600</v>
      </c>
      <c r="J121" s="27"/>
      <c r="K121" s="27"/>
      <c r="L121" s="52"/>
      <c r="M121" s="52"/>
      <c r="N121" s="52"/>
    </row>
    <row r="122" spans="1:14" ht="39" thickBot="1" x14ac:dyDescent="0.25">
      <c r="A122" s="78" t="s">
        <v>199</v>
      </c>
      <c r="B122" s="241"/>
      <c r="C122" s="242"/>
      <c r="D122" s="242"/>
      <c r="E122" s="329"/>
      <c r="F122" s="329"/>
      <c r="G122" s="329"/>
      <c r="H122" s="277">
        <f t="shared" si="51"/>
        <v>1737600</v>
      </c>
      <c r="I122" s="277">
        <v>1737600</v>
      </c>
      <c r="J122" s="278"/>
      <c r="K122" s="278"/>
      <c r="L122" s="52"/>
      <c r="M122" s="52"/>
      <c r="N122" s="52"/>
    </row>
    <row r="123" spans="1:14" ht="51" x14ac:dyDescent="0.2">
      <c r="A123" s="94" t="s">
        <v>157</v>
      </c>
      <c r="B123" s="34" t="s">
        <v>139</v>
      </c>
      <c r="C123" s="89" t="s">
        <v>158</v>
      </c>
      <c r="D123" s="89" t="s">
        <v>128</v>
      </c>
      <c r="E123" s="307">
        <v>269584450</v>
      </c>
      <c r="F123" s="264">
        <v>4566200</v>
      </c>
      <c r="G123" s="264">
        <f>E123-F123</f>
        <v>265018250</v>
      </c>
      <c r="H123" s="40">
        <f t="shared" si="51"/>
        <v>2926200</v>
      </c>
      <c r="I123" s="40">
        <f t="shared" ref="I123:K123" si="54">SUM(I124)</f>
        <v>2926200</v>
      </c>
      <c r="J123" s="40">
        <f t="shared" si="54"/>
        <v>0</v>
      </c>
      <c r="K123" s="40">
        <f t="shared" si="54"/>
        <v>0</v>
      </c>
      <c r="L123" s="52"/>
      <c r="M123" s="52"/>
      <c r="N123" s="52"/>
    </row>
    <row r="124" spans="1:14" ht="25.5" x14ac:dyDescent="0.2">
      <c r="A124" s="100" t="s">
        <v>347</v>
      </c>
      <c r="B124" s="5" t="s">
        <v>349</v>
      </c>
      <c r="C124" s="114"/>
      <c r="D124" s="114"/>
      <c r="E124" s="323"/>
      <c r="F124" s="309"/>
      <c r="G124" s="309"/>
      <c r="H124" s="27">
        <f>I124+J124+K124</f>
        <v>2926200</v>
      </c>
      <c r="I124" s="27">
        <v>2926200</v>
      </c>
      <c r="J124" s="27"/>
      <c r="K124" s="27"/>
      <c r="L124" s="52"/>
      <c r="M124" s="52"/>
      <c r="N124" s="52"/>
    </row>
    <row r="125" spans="1:14" ht="39" thickBot="1" x14ac:dyDescent="0.25">
      <c r="A125" s="78" t="s">
        <v>199</v>
      </c>
      <c r="B125" s="279"/>
      <c r="C125" s="181"/>
      <c r="D125" s="181"/>
      <c r="E125" s="329"/>
      <c r="F125" s="329"/>
      <c r="G125" s="329"/>
      <c r="H125" s="277">
        <f t="shared" si="51"/>
        <v>4566200</v>
      </c>
      <c r="I125" s="277">
        <v>4566200</v>
      </c>
      <c r="J125" s="278"/>
      <c r="K125" s="278"/>
      <c r="L125" s="52"/>
      <c r="M125" s="52"/>
      <c r="N125" s="52"/>
    </row>
    <row r="126" spans="1:14" ht="25.5" x14ac:dyDescent="0.2">
      <c r="A126" s="94" t="s">
        <v>159</v>
      </c>
      <c r="B126" s="34" t="s">
        <v>119</v>
      </c>
      <c r="C126" s="89" t="s">
        <v>160</v>
      </c>
      <c r="D126" s="89" t="s">
        <v>128</v>
      </c>
      <c r="E126" s="264">
        <v>88472700</v>
      </c>
      <c r="F126" s="264">
        <v>1244200</v>
      </c>
      <c r="G126" s="264">
        <f>E126-F126</f>
        <v>87228500</v>
      </c>
      <c r="H126" s="40">
        <f t="shared" si="51"/>
        <v>1144200</v>
      </c>
      <c r="I126" s="40">
        <f t="shared" ref="I126:K126" si="55">SUM(I127)</f>
        <v>1144200</v>
      </c>
      <c r="J126" s="40">
        <f t="shared" si="55"/>
        <v>0</v>
      </c>
      <c r="K126" s="40">
        <f t="shared" si="55"/>
        <v>0</v>
      </c>
      <c r="L126" s="52"/>
      <c r="M126" s="52"/>
      <c r="N126" s="52"/>
    </row>
    <row r="127" spans="1:14" ht="25.5" x14ac:dyDescent="0.2">
      <c r="A127" s="100" t="s">
        <v>347</v>
      </c>
      <c r="B127" s="5" t="s">
        <v>350</v>
      </c>
      <c r="C127" s="113"/>
      <c r="D127" s="113"/>
      <c r="E127" s="273"/>
      <c r="F127" s="273"/>
      <c r="G127" s="273"/>
      <c r="H127" s="27">
        <f>I127+J127+K127</f>
        <v>1144200</v>
      </c>
      <c r="I127" s="276">
        <v>1144200</v>
      </c>
      <c r="J127" s="276"/>
      <c r="K127" s="276"/>
      <c r="L127" s="52"/>
      <c r="M127" s="52"/>
      <c r="N127" s="52"/>
    </row>
    <row r="128" spans="1:14" ht="39" thickBot="1" x14ac:dyDescent="0.25">
      <c r="A128" s="16" t="s">
        <v>199</v>
      </c>
      <c r="B128" s="218"/>
      <c r="C128" s="243"/>
      <c r="D128" s="243"/>
      <c r="E128" s="243"/>
      <c r="F128" s="243"/>
      <c r="G128" s="243"/>
      <c r="H128" s="269">
        <f t="shared" si="51"/>
        <v>1244200</v>
      </c>
      <c r="I128" s="269">
        <v>1244200</v>
      </c>
      <c r="J128" s="29"/>
      <c r="K128" s="29"/>
      <c r="L128" s="52"/>
      <c r="M128" s="52"/>
      <c r="N128" s="52"/>
    </row>
    <row r="129" spans="1:14" ht="26.25" thickBot="1" x14ac:dyDescent="0.25">
      <c r="A129" s="341" t="s">
        <v>132</v>
      </c>
      <c r="B129" s="49"/>
      <c r="C129" s="49"/>
      <c r="D129" s="49"/>
      <c r="E129" s="49"/>
      <c r="F129" s="49"/>
      <c r="G129" s="49"/>
      <c r="H129" s="71">
        <f t="shared" ref="H129:H139" si="56">I129+J129+K129</f>
        <v>20604854.300000001</v>
      </c>
      <c r="I129" s="71">
        <f>SUM(I130:I138)</f>
        <v>20604854.300000001</v>
      </c>
      <c r="J129" s="71">
        <f t="shared" ref="J129:K129" si="57">SUM(J130:J138)</f>
        <v>0</v>
      </c>
      <c r="K129" s="71">
        <f t="shared" si="57"/>
        <v>0</v>
      </c>
      <c r="L129" s="77"/>
      <c r="M129" s="158"/>
      <c r="N129" s="103"/>
    </row>
    <row r="130" spans="1:14" ht="25.5" x14ac:dyDescent="0.2">
      <c r="A130" s="197" t="s">
        <v>319</v>
      </c>
      <c r="B130" s="206" t="s">
        <v>335</v>
      </c>
      <c r="C130" s="251"/>
      <c r="D130" s="251"/>
      <c r="E130" s="251"/>
      <c r="F130" s="251"/>
      <c r="G130" s="251"/>
      <c r="H130" s="205">
        <f t="shared" si="56"/>
        <v>3426464.83</v>
      </c>
      <c r="I130" s="264">
        <f>I96</f>
        <v>3426464.83</v>
      </c>
      <c r="J130" s="264">
        <f t="shared" ref="J130:K130" si="58">J96</f>
        <v>0</v>
      </c>
      <c r="K130" s="264">
        <f t="shared" si="58"/>
        <v>0</v>
      </c>
      <c r="L130" s="77"/>
      <c r="M130" s="158"/>
      <c r="N130" s="103"/>
    </row>
    <row r="131" spans="1:14" ht="25.5" x14ac:dyDescent="0.2">
      <c r="A131" s="198" t="s">
        <v>319</v>
      </c>
      <c r="B131" s="337" t="s">
        <v>321</v>
      </c>
      <c r="C131" s="356"/>
      <c r="D131" s="356"/>
      <c r="E131" s="356"/>
      <c r="F131" s="356"/>
      <c r="G131" s="356"/>
      <c r="H131" s="205">
        <f t="shared" si="56"/>
        <v>172559</v>
      </c>
      <c r="I131" s="205">
        <f>I112</f>
        <v>172559</v>
      </c>
      <c r="J131" s="205">
        <f t="shared" ref="J131:K131" si="59">J112</f>
        <v>0</v>
      </c>
      <c r="K131" s="205">
        <f t="shared" si="59"/>
        <v>0</v>
      </c>
      <c r="L131" s="77"/>
      <c r="M131" s="158"/>
      <c r="N131" s="103"/>
    </row>
    <row r="132" spans="1:14" ht="25.5" x14ac:dyDescent="0.2">
      <c r="A132" s="197" t="s">
        <v>319</v>
      </c>
      <c r="B132" s="206" t="s">
        <v>333</v>
      </c>
      <c r="C132" s="301"/>
      <c r="D132" s="301"/>
      <c r="E132" s="301"/>
      <c r="F132" s="301"/>
      <c r="G132" s="301"/>
      <c r="H132" s="309">
        <f t="shared" si="56"/>
        <v>1048918.81</v>
      </c>
      <c r="I132" s="309">
        <f>I114</f>
        <v>1048918.81</v>
      </c>
      <c r="J132" s="309">
        <f>J114</f>
        <v>0</v>
      </c>
      <c r="K132" s="309">
        <f>K114</f>
        <v>0</v>
      </c>
      <c r="L132" s="77"/>
      <c r="M132" s="158"/>
      <c r="N132" s="103"/>
    </row>
    <row r="133" spans="1:14" ht="25.5" x14ac:dyDescent="0.2">
      <c r="A133" s="197" t="s">
        <v>319</v>
      </c>
      <c r="B133" s="206" t="s">
        <v>336</v>
      </c>
      <c r="C133" s="356"/>
      <c r="D133" s="356"/>
      <c r="E133" s="356"/>
      <c r="F133" s="356"/>
      <c r="G133" s="356"/>
      <c r="H133" s="309">
        <f t="shared" si="56"/>
        <v>3577245.31</v>
      </c>
      <c r="I133" s="205">
        <f>I100</f>
        <v>3577245.31</v>
      </c>
      <c r="J133" s="205">
        <f t="shared" ref="J133:K133" si="60">J100</f>
        <v>0</v>
      </c>
      <c r="K133" s="205">
        <f t="shared" si="60"/>
        <v>0</v>
      </c>
      <c r="L133" s="77"/>
      <c r="M133" s="158"/>
      <c r="N133" s="103"/>
    </row>
    <row r="134" spans="1:14" ht="25.5" x14ac:dyDescent="0.2">
      <c r="A134" s="197" t="s">
        <v>319</v>
      </c>
      <c r="B134" s="206" t="s">
        <v>341</v>
      </c>
      <c r="C134" s="356"/>
      <c r="D134" s="356"/>
      <c r="E134" s="356"/>
      <c r="F134" s="356"/>
      <c r="G134" s="356"/>
      <c r="H134" s="309">
        <f t="shared" si="56"/>
        <v>139327.71</v>
      </c>
      <c r="I134" s="205">
        <f>I118</f>
        <v>139327.71</v>
      </c>
      <c r="J134" s="205">
        <f t="shared" ref="J134:K134" si="61">J118</f>
        <v>0</v>
      </c>
      <c r="K134" s="205">
        <f t="shared" si="61"/>
        <v>0</v>
      </c>
      <c r="L134" s="77"/>
      <c r="M134" s="158"/>
      <c r="N134" s="103"/>
    </row>
    <row r="135" spans="1:14" ht="25.5" x14ac:dyDescent="0.2">
      <c r="A135" s="198" t="s">
        <v>319</v>
      </c>
      <c r="B135" s="337" t="s">
        <v>323</v>
      </c>
      <c r="C135" s="356"/>
      <c r="D135" s="356"/>
      <c r="E135" s="356"/>
      <c r="F135" s="356"/>
      <c r="G135" s="356"/>
      <c r="H135" s="205">
        <f t="shared" si="56"/>
        <v>1439062.29</v>
      </c>
      <c r="I135" s="205">
        <f>I104</f>
        <v>1439062.29</v>
      </c>
      <c r="J135" s="205">
        <f t="shared" ref="J135:K135" si="62">J104</f>
        <v>0</v>
      </c>
      <c r="K135" s="205">
        <f t="shared" si="62"/>
        <v>0</v>
      </c>
      <c r="L135" s="77"/>
      <c r="M135" s="158"/>
      <c r="N135" s="103"/>
    </row>
    <row r="136" spans="1:14" ht="25.5" x14ac:dyDescent="0.2">
      <c r="A136" s="197" t="s">
        <v>319</v>
      </c>
      <c r="B136" s="206" t="s">
        <v>327</v>
      </c>
      <c r="C136" s="301"/>
      <c r="D136" s="301"/>
      <c r="E136" s="301"/>
      <c r="F136" s="301"/>
      <c r="G136" s="301"/>
      <c r="H136" s="309">
        <f t="shared" si="56"/>
        <v>445211.31</v>
      </c>
      <c r="I136" s="309">
        <f>I116</f>
        <v>445211.31</v>
      </c>
      <c r="J136" s="309">
        <f t="shared" ref="J136:K136" si="63">J116</f>
        <v>0</v>
      </c>
      <c r="K136" s="309">
        <f t="shared" si="63"/>
        <v>0</v>
      </c>
      <c r="L136" s="77"/>
      <c r="M136" s="158"/>
      <c r="N136" s="103"/>
    </row>
    <row r="137" spans="1:14" ht="25.5" x14ac:dyDescent="0.2">
      <c r="A137" s="197" t="s">
        <v>319</v>
      </c>
      <c r="B137" s="206" t="s">
        <v>329</v>
      </c>
      <c r="C137" s="301"/>
      <c r="D137" s="301"/>
      <c r="E137" s="301"/>
      <c r="F137" s="301"/>
      <c r="G137" s="301"/>
      <c r="H137" s="309">
        <f t="shared" si="56"/>
        <v>2808065.04</v>
      </c>
      <c r="I137" s="309">
        <f>I108</f>
        <v>2808065.04</v>
      </c>
      <c r="J137" s="309">
        <f t="shared" ref="J137:K137" si="64">J108</f>
        <v>0</v>
      </c>
      <c r="K137" s="309">
        <f t="shared" si="64"/>
        <v>0</v>
      </c>
      <c r="L137" s="77"/>
      <c r="M137" s="158"/>
      <c r="N137" s="103"/>
    </row>
    <row r="138" spans="1:14" ht="26.25" thickBot="1" x14ac:dyDescent="0.25">
      <c r="A138" s="197" t="s">
        <v>347</v>
      </c>
      <c r="B138" s="206" t="s">
        <v>351</v>
      </c>
      <c r="C138" s="374"/>
      <c r="D138" s="374"/>
      <c r="E138" s="374"/>
      <c r="F138" s="374"/>
      <c r="G138" s="374"/>
      <c r="H138" s="309">
        <f t="shared" si="56"/>
        <v>7548000</v>
      </c>
      <c r="I138" s="273">
        <f>I121+I124+I127</f>
        <v>7548000</v>
      </c>
      <c r="J138" s="273">
        <f t="shared" ref="J138:K138" si="65">J121+J124+J127</f>
        <v>0</v>
      </c>
      <c r="K138" s="273">
        <f t="shared" si="65"/>
        <v>0</v>
      </c>
      <c r="L138" s="77"/>
      <c r="M138" s="158"/>
      <c r="N138" s="103"/>
    </row>
    <row r="139" spans="1:14" ht="27.75" customHeight="1" thickBot="1" x14ac:dyDescent="0.25">
      <c r="A139" s="343" t="s">
        <v>149</v>
      </c>
      <c r="B139" s="343"/>
      <c r="C139" s="343"/>
      <c r="D139" s="343"/>
      <c r="E139" s="343"/>
      <c r="F139" s="343"/>
      <c r="G139" s="343"/>
      <c r="H139" s="39">
        <f t="shared" si="56"/>
        <v>1903193181.6499996</v>
      </c>
      <c r="I139" s="39">
        <f>SUM(I140:I169)</f>
        <v>1293394864.6399996</v>
      </c>
      <c r="J139" s="39">
        <f t="shared" ref="J139:K139" si="66">SUM(J140:J167)</f>
        <v>609198317.00999999</v>
      </c>
      <c r="K139" s="39">
        <f t="shared" si="66"/>
        <v>600000</v>
      </c>
      <c r="L139" s="3"/>
      <c r="M139" s="115"/>
    </row>
    <row r="140" spans="1:14" ht="27.75" customHeight="1" x14ac:dyDescent="0.2">
      <c r="A140" s="164" t="s">
        <v>92</v>
      </c>
      <c r="B140" s="34" t="s">
        <v>297</v>
      </c>
      <c r="C140" s="193"/>
      <c r="D140" s="193"/>
      <c r="E140" s="193"/>
      <c r="F140" s="193"/>
      <c r="G140" s="193"/>
      <c r="H140" s="40">
        <f t="shared" si="41"/>
        <v>5675788.3499999996</v>
      </c>
      <c r="I140" s="108">
        <f t="shared" ref="I140:K149" si="67">I71</f>
        <v>1352134.73</v>
      </c>
      <c r="J140" s="108">
        <f t="shared" si="67"/>
        <v>3723653.62</v>
      </c>
      <c r="K140" s="108">
        <f t="shared" si="67"/>
        <v>600000</v>
      </c>
      <c r="L140" s="3"/>
      <c r="M140" s="115"/>
    </row>
    <row r="141" spans="1:14" ht="25.5" x14ac:dyDescent="0.2">
      <c r="A141" s="9" t="s">
        <v>94</v>
      </c>
      <c r="B141" s="95" t="s">
        <v>273</v>
      </c>
      <c r="C141" s="36"/>
      <c r="D141" s="36"/>
      <c r="E141" s="36"/>
      <c r="F141" s="36"/>
      <c r="G141" s="36"/>
      <c r="H141" s="27">
        <f t="shared" si="41"/>
        <v>6313074.5800000001</v>
      </c>
      <c r="I141" s="27">
        <f t="shared" si="67"/>
        <v>3319240.1</v>
      </c>
      <c r="J141" s="27">
        <f t="shared" si="67"/>
        <v>2993834.48</v>
      </c>
      <c r="K141" s="27">
        <f t="shared" si="67"/>
        <v>0</v>
      </c>
      <c r="M141" s="103"/>
    </row>
    <row r="142" spans="1:14" ht="25.5" x14ac:dyDescent="0.2">
      <c r="A142" s="9" t="s">
        <v>95</v>
      </c>
      <c r="B142" s="165" t="s">
        <v>274</v>
      </c>
      <c r="C142" s="37"/>
      <c r="D142" s="37"/>
      <c r="E142" s="37"/>
      <c r="F142" s="37"/>
      <c r="G142" s="37"/>
      <c r="H142" s="28">
        <f t="shared" si="41"/>
        <v>99715783.729999989</v>
      </c>
      <c r="I142" s="28">
        <f t="shared" si="67"/>
        <v>46800570</v>
      </c>
      <c r="J142" s="28">
        <f t="shared" si="67"/>
        <v>52915213.729999997</v>
      </c>
      <c r="K142" s="28">
        <f t="shared" si="67"/>
        <v>0</v>
      </c>
      <c r="M142" s="103"/>
    </row>
    <row r="143" spans="1:14" ht="25.5" x14ac:dyDescent="0.2">
      <c r="A143" s="255" t="s">
        <v>47</v>
      </c>
      <c r="B143" s="93" t="s">
        <v>271</v>
      </c>
      <c r="C143" s="37"/>
      <c r="D143" s="37"/>
      <c r="E143" s="37"/>
      <c r="F143" s="37"/>
      <c r="G143" s="37"/>
      <c r="H143" s="27">
        <f t="shared" si="41"/>
        <v>525278600</v>
      </c>
      <c r="I143" s="28">
        <f t="shared" si="67"/>
        <v>281804200</v>
      </c>
      <c r="J143" s="28">
        <f t="shared" si="67"/>
        <v>243474400</v>
      </c>
      <c r="K143" s="28">
        <f t="shared" si="67"/>
        <v>0</v>
      </c>
      <c r="M143" s="103"/>
    </row>
    <row r="144" spans="1:14" ht="25.5" x14ac:dyDescent="0.2">
      <c r="A144" s="100" t="s">
        <v>91</v>
      </c>
      <c r="B144" s="5" t="s">
        <v>262</v>
      </c>
      <c r="C144" s="37"/>
      <c r="D144" s="37"/>
      <c r="E144" s="37"/>
      <c r="F144" s="37"/>
      <c r="G144" s="37"/>
      <c r="H144" s="27">
        <f t="shared" si="41"/>
        <v>9158344.4499999993</v>
      </c>
      <c r="I144" s="28">
        <f t="shared" si="67"/>
        <v>9158344.4499999993</v>
      </c>
      <c r="J144" s="28">
        <f t="shared" si="67"/>
        <v>0</v>
      </c>
      <c r="K144" s="28">
        <f t="shared" si="67"/>
        <v>0</v>
      </c>
    </row>
    <row r="145" spans="1:11" ht="25.5" x14ac:dyDescent="0.2">
      <c r="A145" s="100" t="s">
        <v>39</v>
      </c>
      <c r="B145" s="5" t="s">
        <v>262</v>
      </c>
      <c r="C145" s="36"/>
      <c r="D145" s="36"/>
      <c r="E145" s="36"/>
      <c r="F145" s="36"/>
      <c r="G145" s="36"/>
      <c r="H145" s="27">
        <f t="shared" si="41"/>
        <v>906676100</v>
      </c>
      <c r="I145" s="27">
        <f t="shared" si="67"/>
        <v>906676100</v>
      </c>
      <c r="J145" s="27">
        <f t="shared" si="67"/>
        <v>0</v>
      </c>
      <c r="K145" s="27">
        <f t="shared" si="67"/>
        <v>0</v>
      </c>
    </row>
    <row r="146" spans="1:11" ht="25.5" x14ac:dyDescent="0.2">
      <c r="A146" s="100" t="s">
        <v>308</v>
      </c>
      <c r="B146" s="95" t="s">
        <v>307</v>
      </c>
      <c r="C146" s="36"/>
      <c r="D146" s="36"/>
      <c r="E146" s="36"/>
      <c r="F146" s="36"/>
      <c r="G146" s="36"/>
      <c r="H146" s="27">
        <f t="shared" si="41"/>
        <v>304246.68</v>
      </c>
      <c r="I146" s="27">
        <f t="shared" si="67"/>
        <v>304246.68</v>
      </c>
      <c r="J146" s="27">
        <f t="shared" si="67"/>
        <v>0</v>
      </c>
      <c r="K146" s="27">
        <f t="shared" si="67"/>
        <v>0</v>
      </c>
    </row>
    <row r="147" spans="1:11" ht="25.5" x14ac:dyDescent="0.2">
      <c r="A147" s="197" t="s">
        <v>308</v>
      </c>
      <c r="B147" s="206" t="s">
        <v>310</v>
      </c>
      <c r="C147" s="36"/>
      <c r="D147" s="36"/>
      <c r="E147" s="36"/>
      <c r="F147" s="36"/>
      <c r="G147" s="36"/>
      <c r="H147" s="27">
        <f t="shared" si="41"/>
        <v>262700.5</v>
      </c>
      <c r="I147" s="27">
        <f t="shared" si="67"/>
        <v>262700.5</v>
      </c>
      <c r="J147" s="27">
        <f t="shared" si="67"/>
        <v>0</v>
      </c>
      <c r="K147" s="27">
        <f t="shared" si="67"/>
        <v>0</v>
      </c>
    </row>
    <row r="148" spans="1:11" ht="25.5" x14ac:dyDescent="0.2">
      <c r="A148" s="197" t="s">
        <v>308</v>
      </c>
      <c r="B148" s="206" t="s">
        <v>316</v>
      </c>
      <c r="C148" s="36"/>
      <c r="D148" s="36"/>
      <c r="E148" s="36"/>
      <c r="F148" s="36"/>
      <c r="G148" s="36"/>
      <c r="H148" s="27">
        <f t="shared" si="41"/>
        <v>72253.84</v>
      </c>
      <c r="I148" s="27">
        <f t="shared" si="67"/>
        <v>72253.84</v>
      </c>
      <c r="J148" s="27">
        <f t="shared" si="67"/>
        <v>0</v>
      </c>
      <c r="K148" s="27">
        <f t="shared" si="67"/>
        <v>0</v>
      </c>
    </row>
    <row r="149" spans="1:11" ht="25.5" x14ac:dyDescent="0.2">
      <c r="A149" s="197" t="s">
        <v>256</v>
      </c>
      <c r="B149" s="206" t="s">
        <v>284</v>
      </c>
      <c r="C149" s="36"/>
      <c r="D149" s="36"/>
      <c r="E149" s="36"/>
      <c r="F149" s="36"/>
      <c r="G149" s="36"/>
      <c r="H149" s="27">
        <f t="shared" si="41"/>
        <v>0</v>
      </c>
      <c r="I149" s="27">
        <f t="shared" si="67"/>
        <v>0</v>
      </c>
      <c r="J149" s="27">
        <f t="shared" si="67"/>
        <v>0</v>
      </c>
      <c r="K149" s="27">
        <f t="shared" si="67"/>
        <v>0</v>
      </c>
    </row>
    <row r="150" spans="1:11" ht="25.5" x14ac:dyDescent="0.2">
      <c r="A150" s="197" t="s">
        <v>256</v>
      </c>
      <c r="B150" s="206" t="s">
        <v>445</v>
      </c>
      <c r="C150" s="36"/>
      <c r="D150" s="36"/>
      <c r="E150" s="36"/>
      <c r="F150" s="36"/>
      <c r="G150" s="36"/>
      <c r="H150" s="27">
        <f t="shared" si="41"/>
        <v>3060912.15</v>
      </c>
      <c r="I150" s="27">
        <f t="shared" ref="I150:I160" si="68">I81</f>
        <v>0</v>
      </c>
      <c r="J150" s="27">
        <f t="shared" ref="J150:K150" si="69">J81</f>
        <v>3060912.15</v>
      </c>
      <c r="K150" s="27">
        <f t="shared" si="69"/>
        <v>0</v>
      </c>
    </row>
    <row r="151" spans="1:11" ht="25.5" x14ac:dyDescent="0.2">
      <c r="A151" s="197" t="s">
        <v>257</v>
      </c>
      <c r="B151" s="206" t="s">
        <v>445</v>
      </c>
      <c r="C151" s="36"/>
      <c r="D151" s="36"/>
      <c r="E151" s="36"/>
      <c r="F151" s="36"/>
      <c r="G151" s="36"/>
      <c r="H151" s="27">
        <f t="shared" si="41"/>
        <v>3030303.03</v>
      </c>
      <c r="I151" s="27">
        <f t="shared" si="68"/>
        <v>0</v>
      </c>
      <c r="J151" s="27">
        <f t="shared" ref="J151:K151" si="70">J82</f>
        <v>3030303.03</v>
      </c>
      <c r="K151" s="27">
        <f t="shared" si="70"/>
        <v>0</v>
      </c>
    </row>
    <row r="152" spans="1:11" ht="25.5" x14ac:dyDescent="0.2">
      <c r="A152" s="197" t="s">
        <v>258</v>
      </c>
      <c r="B152" s="206" t="s">
        <v>445</v>
      </c>
      <c r="C152" s="36"/>
      <c r="D152" s="36"/>
      <c r="E152" s="36"/>
      <c r="F152" s="36"/>
      <c r="G152" s="36"/>
      <c r="H152" s="27">
        <f t="shared" si="41"/>
        <v>300000000</v>
      </c>
      <c r="I152" s="27">
        <f t="shared" si="68"/>
        <v>0</v>
      </c>
      <c r="J152" s="27">
        <f t="shared" ref="J152:K152" si="71">J83</f>
        <v>300000000</v>
      </c>
      <c r="K152" s="27">
        <f t="shared" si="71"/>
        <v>0</v>
      </c>
    </row>
    <row r="153" spans="1:11" ht="25.5" x14ac:dyDescent="0.2">
      <c r="A153" s="100" t="s">
        <v>256</v>
      </c>
      <c r="B153" s="95" t="s">
        <v>281</v>
      </c>
      <c r="C153" s="36"/>
      <c r="D153" s="36"/>
      <c r="E153" s="36"/>
      <c r="F153" s="36"/>
      <c r="G153" s="36"/>
      <c r="H153" s="27">
        <f t="shared" si="41"/>
        <v>0</v>
      </c>
      <c r="I153" s="27">
        <f t="shared" si="68"/>
        <v>0</v>
      </c>
      <c r="J153" s="27">
        <f t="shared" ref="J153:K155" si="72">J84</f>
        <v>0</v>
      </c>
      <c r="K153" s="27">
        <f t="shared" si="72"/>
        <v>0</v>
      </c>
    </row>
    <row r="154" spans="1:11" ht="25.5" x14ac:dyDescent="0.2">
      <c r="A154" s="9" t="s">
        <v>257</v>
      </c>
      <c r="B154" s="165" t="s">
        <v>282</v>
      </c>
      <c r="C154" s="36"/>
      <c r="D154" s="36"/>
      <c r="E154" s="36"/>
      <c r="F154" s="36"/>
      <c r="G154" s="36"/>
      <c r="H154" s="27">
        <f t="shared" si="41"/>
        <v>0</v>
      </c>
      <c r="I154" s="27">
        <f t="shared" si="68"/>
        <v>0</v>
      </c>
      <c r="J154" s="27">
        <f t="shared" si="72"/>
        <v>0</v>
      </c>
      <c r="K154" s="27">
        <f t="shared" si="72"/>
        <v>0</v>
      </c>
    </row>
    <row r="155" spans="1:11" ht="25.5" x14ac:dyDescent="0.2">
      <c r="A155" s="9" t="s">
        <v>258</v>
      </c>
      <c r="B155" s="5" t="s">
        <v>280</v>
      </c>
      <c r="C155" s="36"/>
      <c r="D155" s="36"/>
      <c r="E155" s="36"/>
      <c r="F155" s="36"/>
      <c r="G155" s="36"/>
      <c r="H155" s="27">
        <f t="shared" si="41"/>
        <v>0</v>
      </c>
      <c r="I155" s="27">
        <f t="shared" si="68"/>
        <v>0</v>
      </c>
      <c r="J155" s="27">
        <f t="shared" si="72"/>
        <v>0</v>
      </c>
      <c r="K155" s="27">
        <f t="shared" si="72"/>
        <v>0</v>
      </c>
    </row>
    <row r="156" spans="1:11" ht="25.5" x14ac:dyDescent="0.2">
      <c r="A156" s="197" t="s">
        <v>313</v>
      </c>
      <c r="B156" s="206" t="s">
        <v>314</v>
      </c>
      <c r="C156" s="36"/>
      <c r="D156" s="36"/>
      <c r="E156" s="36"/>
      <c r="F156" s="36"/>
      <c r="G156" s="36"/>
      <c r="H156" s="27">
        <f t="shared" si="41"/>
        <v>4514480.18</v>
      </c>
      <c r="I156" s="27">
        <f t="shared" si="68"/>
        <v>4514480.18</v>
      </c>
      <c r="J156" s="27">
        <f t="shared" ref="J156:K156" si="73">J87</f>
        <v>0</v>
      </c>
      <c r="K156" s="27">
        <f t="shared" si="73"/>
        <v>0</v>
      </c>
    </row>
    <row r="157" spans="1:11" ht="25.5" x14ac:dyDescent="0.2">
      <c r="A157" s="197" t="s">
        <v>303</v>
      </c>
      <c r="B157" s="206" t="s">
        <v>304</v>
      </c>
      <c r="C157" s="36"/>
      <c r="D157" s="36"/>
      <c r="E157" s="36"/>
      <c r="F157" s="36"/>
      <c r="G157" s="36"/>
      <c r="H157" s="27">
        <f t="shared" si="41"/>
        <v>4063211.7800000003</v>
      </c>
      <c r="I157" s="27">
        <f t="shared" si="68"/>
        <v>4063211.7800000003</v>
      </c>
      <c r="J157" s="27">
        <f>J88</f>
        <v>0</v>
      </c>
      <c r="K157" s="27">
        <f>K88</f>
        <v>0</v>
      </c>
    </row>
    <row r="158" spans="1:11" ht="25.5" x14ac:dyDescent="0.2">
      <c r="A158" s="197" t="s">
        <v>298</v>
      </c>
      <c r="B158" s="95" t="s">
        <v>300</v>
      </c>
      <c r="C158" s="36"/>
      <c r="D158" s="36"/>
      <c r="E158" s="36"/>
      <c r="F158" s="36"/>
      <c r="G158" s="36"/>
      <c r="H158" s="27">
        <f t="shared" si="41"/>
        <v>3993726.0700000003</v>
      </c>
      <c r="I158" s="27">
        <f t="shared" si="68"/>
        <v>3993726.0700000003</v>
      </c>
      <c r="J158" s="27">
        <f>J89</f>
        <v>0</v>
      </c>
      <c r="K158" s="27">
        <f>K89</f>
        <v>0</v>
      </c>
    </row>
    <row r="159" spans="1:11" ht="25.5" x14ac:dyDescent="0.2">
      <c r="A159" s="197" t="s">
        <v>344</v>
      </c>
      <c r="B159" s="206" t="s">
        <v>300</v>
      </c>
      <c r="C159" s="36"/>
      <c r="D159" s="36"/>
      <c r="E159" s="36"/>
      <c r="F159" s="36"/>
      <c r="G159" s="36"/>
      <c r="H159" s="27">
        <f t="shared" si="41"/>
        <v>224915.14</v>
      </c>
      <c r="I159" s="27">
        <f t="shared" si="68"/>
        <v>224915.14</v>
      </c>
      <c r="J159" s="27">
        <f t="shared" ref="J159:K159" si="74">J90</f>
        <v>0</v>
      </c>
      <c r="K159" s="27">
        <f t="shared" si="74"/>
        <v>0</v>
      </c>
    </row>
    <row r="160" spans="1:11" ht="25.5" x14ac:dyDescent="0.2">
      <c r="A160" s="197" t="s">
        <v>343</v>
      </c>
      <c r="B160" s="206" t="s">
        <v>346</v>
      </c>
      <c r="C160" s="36"/>
      <c r="D160" s="36"/>
      <c r="E160" s="36"/>
      <c r="F160" s="36"/>
      <c r="G160" s="36"/>
      <c r="H160" s="27">
        <f t="shared" si="41"/>
        <v>10243886.869999999</v>
      </c>
      <c r="I160" s="27">
        <f t="shared" si="68"/>
        <v>10243886.869999999</v>
      </c>
      <c r="J160" s="27">
        <f t="shared" ref="J160:K160" si="75">J91</f>
        <v>0</v>
      </c>
      <c r="K160" s="27">
        <f t="shared" si="75"/>
        <v>0</v>
      </c>
    </row>
    <row r="161" spans="1:15" ht="25.5" x14ac:dyDescent="0.2">
      <c r="A161" s="198" t="s">
        <v>319</v>
      </c>
      <c r="B161" s="337" t="s">
        <v>335</v>
      </c>
      <c r="C161" s="349"/>
      <c r="D161" s="349"/>
      <c r="E161" s="349"/>
      <c r="F161" s="349"/>
      <c r="G161" s="349"/>
      <c r="H161" s="28">
        <f t="shared" si="41"/>
        <v>3426464.83</v>
      </c>
      <c r="I161" s="276">
        <f t="shared" ref="I161:I169" si="76">I130</f>
        <v>3426464.83</v>
      </c>
      <c r="J161" s="276">
        <f t="shared" ref="J161:K161" si="77">J130</f>
        <v>0</v>
      </c>
      <c r="K161" s="276">
        <f t="shared" si="77"/>
        <v>0</v>
      </c>
    </row>
    <row r="162" spans="1:15" ht="25.5" x14ac:dyDescent="0.2">
      <c r="A162" s="338" t="s">
        <v>319</v>
      </c>
      <c r="B162" s="339" t="s">
        <v>321</v>
      </c>
      <c r="C162" s="365"/>
      <c r="D162" s="365"/>
      <c r="E162" s="365"/>
      <c r="F162" s="365"/>
      <c r="G162" s="365"/>
      <c r="H162" s="27">
        <f t="shared" si="41"/>
        <v>172559</v>
      </c>
      <c r="I162" s="366">
        <f t="shared" si="76"/>
        <v>172559</v>
      </c>
      <c r="J162" s="366">
        <f t="shared" ref="J162:K162" si="78">J131</f>
        <v>0</v>
      </c>
      <c r="K162" s="366">
        <f t="shared" si="78"/>
        <v>0</v>
      </c>
    </row>
    <row r="163" spans="1:15" ht="25.5" x14ac:dyDescent="0.2">
      <c r="A163" s="197" t="s">
        <v>319</v>
      </c>
      <c r="B163" s="206" t="s">
        <v>333</v>
      </c>
      <c r="C163" s="365"/>
      <c r="D163" s="365"/>
      <c r="E163" s="365"/>
      <c r="F163" s="365"/>
      <c r="G163" s="365"/>
      <c r="H163" s="27">
        <f t="shared" si="41"/>
        <v>1048918.81</v>
      </c>
      <c r="I163" s="366">
        <f t="shared" si="76"/>
        <v>1048918.81</v>
      </c>
      <c r="J163" s="366">
        <f t="shared" ref="J163:K163" si="79">J132</f>
        <v>0</v>
      </c>
      <c r="K163" s="366">
        <f t="shared" si="79"/>
        <v>0</v>
      </c>
    </row>
    <row r="164" spans="1:15" ht="25.5" x14ac:dyDescent="0.2">
      <c r="A164" s="197" t="s">
        <v>319</v>
      </c>
      <c r="B164" s="206" t="s">
        <v>336</v>
      </c>
      <c r="C164" s="365"/>
      <c r="D164" s="365"/>
      <c r="E164" s="365"/>
      <c r="F164" s="365"/>
      <c r="G164" s="365"/>
      <c r="H164" s="27">
        <f t="shared" si="41"/>
        <v>3577245.31</v>
      </c>
      <c r="I164" s="366">
        <f t="shared" si="76"/>
        <v>3577245.31</v>
      </c>
      <c r="J164" s="366">
        <f t="shared" ref="J164:K164" si="80">J133</f>
        <v>0</v>
      </c>
      <c r="K164" s="366">
        <f t="shared" si="80"/>
        <v>0</v>
      </c>
    </row>
    <row r="165" spans="1:15" ht="25.5" x14ac:dyDescent="0.2">
      <c r="A165" s="197" t="s">
        <v>319</v>
      </c>
      <c r="B165" s="206" t="s">
        <v>341</v>
      </c>
      <c r="C165" s="365"/>
      <c r="D165" s="365"/>
      <c r="E165" s="365"/>
      <c r="F165" s="365"/>
      <c r="G165" s="365"/>
      <c r="H165" s="27">
        <f t="shared" si="41"/>
        <v>139327.71</v>
      </c>
      <c r="I165" s="366">
        <f t="shared" si="76"/>
        <v>139327.71</v>
      </c>
      <c r="J165" s="366">
        <f t="shared" ref="J165:K165" si="81">J134</f>
        <v>0</v>
      </c>
      <c r="K165" s="366">
        <f t="shared" si="81"/>
        <v>0</v>
      </c>
    </row>
    <row r="166" spans="1:15" ht="25.5" x14ac:dyDescent="0.2">
      <c r="A166" s="197" t="s">
        <v>319</v>
      </c>
      <c r="B166" s="206" t="s">
        <v>323</v>
      </c>
      <c r="C166" s="36"/>
      <c r="D166" s="36"/>
      <c r="E166" s="36"/>
      <c r="F166" s="36"/>
      <c r="G166" s="36"/>
      <c r="H166" s="27">
        <f t="shared" si="41"/>
        <v>1439062.29</v>
      </c>
      <c r="I166" s="27">
        <f t="shared" si="76"/>
        <v>1439062.29</v>
      </c>
      <c r="J166" s="27">
        <f t="shared" ref="J166:K166" si="82">J135</f>
        <v>0</v>
      </c>
      <c r="K166" s="27">
        <f t="shared" si="82"/>
        <v>0</v>
      </c>
    </row>
    <row r="167" spans="1:15" ht="25.5" x14ac:dyDescent="0.2">
      <c r="A167" s="197" t="s">
        <v>319</v>
      </c>
      <c r="B167" s="206" t="s">
        <v>327</v>
      </c>
      <c r="C167" s="36"/>
      <c r="D167" s="36"/>
      <c r="E167" s="36"/>
      <c r="F167" s="36"/>
      <c r="G167" s="36"/>
      <c r="H167" s="27">
        <f t="shared" si="41"/>
        <v>445211.31</v>
      </c>
      <c r="I167" s="27">
        <f t="shared" si="76"/>
        <v>445211.31</v>
      </c>
      <c r="J167" s="27">
        <f t="shared" ref="J167:K167" si="83">J136</f>
        <v>0</v>
      </c>
      <c r="K167" s="27">
        <f t="shared" si="83"/>
        <v>0</v>
      </c>
    </row>
    <row r="168" spans="1:15" ht="25.5" x14ac:dyDescent="0.2">
      <c r="A168" s="197" t="s">
        <v>319</v>
      </c>
      <c r="B168" s="206" t="s">
        <v>329</v>
      </c>
      <c r="C168" s="36"/>
      <c r="D168" s="36"/>
      <c r="E168" s="36"/>
      <c r="F168" s="36"/>
      <c r="G168" s="36"/>
      <c r="H168" s="27">
        <f t="shared" si="41"/>
        <v>2808065.04</v>
      </c>
      <c r="I168" s="27">
        <f t="shared" si="76"/>
        <v>2808065.04</v>
      </c>
      <c r="J168" s="27">
        <f t="shared" ref="J168:K168" si="84">J137</f>
        <v>0</v>
      </c>
      <c r="K168" s="27">
        <f t="shared" si="84"/>
        <v>0</v>
      </c>
    </row>
    <row r="169" spans="1:15" ht="26.25" thickBot="1" x14ac:dyDescent="0.25">
      <c r="A169" s="90" t="s">
        <v>347</v>
      </c>
      <c r="B169" s="6" t="s">
        <v>351</v>
      </c>
      <c r="C169" s="404"/>
      <c r="D169" s="404"/>
      <c r="E169" s="404"/>
      <c r="F169" s="404"/>
      <c r="G169" s="404"/>
      <c r="H169" s="29">
        <f t="shared" si="41"/>
        <v>7548000</v>
      </c>
      <c r="I169" s="29">
        <f t="shared" si="76"/>
        <v>7548000</v>
      </c>
      <c r="J169" s="29">
        <f t="shared" ref="J169:K169" si="85">J138</f>
        <v>0</v>
      </c>
      <c r="K169" s="29">
        <f t="shared" si="85"/>
        <v>0</v>
      </c>
    </row>
    <row r="170" spans="1:15" ht="19.5" customHeight="1" thickBot="1" x14ac:dyDescent="0.25">
      <c r="A170" s="423" t="s">
        <v>114</v>
      </c>
      <c r="B170" s="423"/>
      <c r="C170" s="423"/>
      <c r="D170" s="423"/>
      <c r="E170" s="423"/>
      <c r="F170" s="423"/>
      <c r="G170" s="423"/>
      <c r="H170" s="423"/>
      <c r="I170" s="423"/>
      <c r="J170" s="423"/>
      <c r="K170" s="423"/>
    </row>
    <row r="171" spans="1:15" ht="21" customHeight="1" thickBot="1" x14ac:dyDescent="0.25">
      <c r="A171" s="417" t="s">
        <v>118</v>
      </c>
      <c r="B171" s="417"/>
      <c r="C171" s="417"/>
      <c r="D171" s="417"/>
      <c r="E171" s="417"/>
      <c r="F171" s="417"/>
      <c r="G171" s="417"/>
      <c r="H171" s="417"/>
      <c r="I171" s="417"/>
      <c r="J171" s="417"/>
      <c r="K171" s="417"/>
    </row>
    <row r="172" spans="1:15" ht="44.25" customHeight="1" thickBot="1" x14ac:dyDescent="0.25">
      <c r="A172" s="10" t="s">
        <v>105</v>
      </c>
      <c r="B172" s="161"/>
      <c r="C172" s="43"/>
      <c r="D172" s="43"/>
      <c r="E172" s="44"/>
      <c r="F172" s="44"/>
      <c r="G172" s="44"/>
      <c r="H172" s="67">
        <f>I172+J172+K172</f>
        <v>120795935.28</v>
      </c>
      <c r="I172" s="67">
        <f>I173+I238</f>
        <v>53385901.93</v>
      </c>
      <c r="J172" s="67">
        <f>J173+J238</f>
        <v>59161608.030000001</v>
      </c>
      <c r="K172" s="67">
        <f>K173+K238</f>
        <v>8248425.3200000003</v>
      </c>
      <c r="L172" s="3"/>
      <c r="O172" s="103"/>
    </row>
    <row r="173" spans="1:15" ht="43.5" customHeight="1" thickBot="1" x14ac:dyDescent="0.25">
      <c r="A173" s="102" t="s">
        <v>77</v>
      </c>
      <c r="B173" s="333"/>
      <c r="C173" s="334"/>
      <c r="D173" s="334"/>
      <c r="E173" s="335"/>
      <c r="F173" s="335"/>
      <c r="G173" s="335"/>
      <c r="H173" s="56">
        <f t="shared" ref="H173:H211" si="86">I173+J173+K173</f>
        <v>88381506.919999987</v>
      </c>
      <c r="I173" s="56">
        <f>I174+I177+I182+I208+I210+I212+I214+I216+I218+I220+I222+I224+I226+I228+I230+I232+I234+I236+I184+I186+I188+I190+I192+I194+I198+I200+I202+I204+I206+I196</f>
        <v>52971473.57</v>
      </c>
      <c r="J173" s="56">
        <f t="shared" ref="J173:K173" si="87">J174+J177+J182+J208+J210+J212+J214+J216+J218+J220+J222+J224+J226+J228+J230+J232+J234+J236+J184+J186+J188+J190+J192+J194</f>
        <v>27161608.030000001</v>
      </c>
      <c r="K173" s="56">
        <f t="shared" si="87"/>
        <v>8248425.3200000003</v>
      </c>
      <c r="L173" s="3"/>
      <c r="O173" s="103"/>
    </row>
    <row r="174" spans="1:15" ht="39" customHeight="1" x14ac:dyDescent="0.2">
      <c r="A174" s="137" t="s">
        <v>123</v>
      </c>
      <c r="B174" s="180" t="s">
        <v>119</v>
      </c>
      <c r="C174" s="159" t="s">
        <v>189</v>
      </c>
      <c r="D174" s="166" t="s">
        <v>99</v>
      </c>
      <c r="E174" s="205">
        <v>17018423</v>
      </c>
      <c r="F174" s="293">
        <v>1859423</v>
      </c>
      <c r="G174" s="205">
        <f>E174-F174</f>
        <v>15159000</v>
      </c>
      <c r="H174" s="14">
        <f t="shared" si="86"/>
        <v>15159000</v>
      </c>
      <c r="I174" s="14">
        <f>SUM(I175:I176)</f>
        <v>15159000</v>
      </c>
      <c r="J174" s="14">
        <f>SUM(J175:J176)</f>
        <v>0</v>
      </c>
      <c r="K174" s="14">
        <f>SUM(K175:K176)</f>
        <v>0</v>
      </c>
    </row>
    <row r="175" spans="1:15" ht="26.25" customHeight="1" x14ac:dyDescent="0.2">
      <c r="A175" s="9" t="s">
        <v>97</v>
      </c>
      <c r="B175" s="5" t="s">
        <v>26</v>
      </c>
      <c r="C175" s="121"/>
      <c r="D175" s="250"/>
      <c r="E175" s="8"/>
      <c r="F175" s="261"/>
      <c r="G175" s="261"/>
      <c r="H175" s="8">
        <f t="shared" si="86"/>
        <v>757950</v>
      </c>
      <c r="I175" s="8">
        <v>757950</v>
      </c>
      <c r="J175" s="8"/>
      <c r="K175" s="8"/>
      <c r="L175" s="54"/>
    </row>
    <row r="176" spans="1:15" ht="26.25" customHeight="1" thickBot="1" x14ac:dyDescent="0.25">
      <c r="A176" s="255" t="s">
        <v>98</v>
      </c>
      <c r="B176" s="93" t="s">
        <v>25</v>
      </c>
      <c r="C176" s="280"/>
      <c r="D176" s="281"/>
      <c r="E176" s="15"/>
      <c r="F176" s="316"/>
      <c r="G176" s="316"/>
      <c r="H176" s="15">
        <f t="shared" si="86"/>
        <v>14401050</v>
      </c>
      <c r="I176" s="15">
        <v>14401050</v>
      </c>
      <c r="J176" s="15"/>
      <c r="K176" s="15"/>
      <c r="L176" s="54"/>
    </row>
    <row r="177" spans="1:16" ht="56.25" customHeight="1" x14ac:dyDescent="0.2">
      <c r="A177" s="251" t="s">
        <v>144</v>
      </c>
      <c r="B177" s="41" t="s">
        <v>119</v>
      </c>
      <c r="C177" s="91" t="s">
        <v>69</v>
      </c>
      <c r="D177" s="91" t="s">
        <v>128</v>
      </c>
      <c r="E177" s="108">
        <v>45310080</v>
      </c>
      <c r="F177" s="292">
        <v>10577407.869999999</v>
      </c>
      <c r="G177" s="264">
        <f>E177-F177</f>
        <v>34732672.130000003</v>
      </c>
      <c r="H177" s="33">
        <f t="shared" ref="H177" si="88">I177+J177+K177</f>
        <v>17161665.609999999</v>
      </c>
      <c r="I177" s="33">
        <f>SUM(I178:I179)</f>
        <v>17161665.609999999</v>
      </c>
      <c r="J177" s="33">
        <f>SUM(J178:J179)</f>
        <v>0</v>
      </c>
      <c r="K177" s="33">
        <f>SUM(K178:K179)</f>
        <v>0</v>
      </c>
    </row>
    <row r="178" spans="1:16" ht="28.5" customHeight="1" x14ac:dyDescent="0.2">
      <c r="A178" s="9" t="s">
        <v>97</v>
      </c>
      <c r="B178" s="5" t="s">
        <v>24</v>
      </c>
      <c r="C178" s="11"/>
      <c r="D178" s="11"/>
      <c r="E178" s="87"/>
      <c r="F178" s="216"/>
      <c r="G178" s="216"/>
      <c r="H178" s="8">
        <f>I178+J178+K178</f>
        <v>1836483.6099999999</v>
      </c>
      <c r="I178" s="8">
        <f>806588.53+1029895.08</f>
        <v>1836483.6099999999</v>
      </c>
      <c r="J178" s="405"/>
      <c r="K178" s="8"/>
      <c r="L178" s="51"/>
      <c r="N178" s="52"/>
    </row>
    <row r="179" spans="1:16" ht="25.5" x14ac:dyDescent="0.2">
      <c r="A179" s="9" t="s">
        <v>98</v>
      </c>
      <c r="B179" s="5" t="s">
        <v>23</v>
      </c>
      <c r="C179" s="11"/>
      <c r="D179" s="11"/>
      <c r="E179" s="87"/>
      <c r="F179" s="216"/>
      <c r="G179" s="216"/>
      <c r="H179" s="8">
        <f>I179+J179+K179</f>
        <v>15325182</v>
      </c>
      <c r="I179" s="8">
        <v>15325182</v>
      </c>
      <c r="J179" s="286"/>
      <c r="K179" s="8"/>
      <c r="L179" s="52"/>
      <c r="M179" s="52"/>
      <c r="N179" s="52"/>
    </row>
    <row r="180" spans="1:16" ht="38.25" x14ac:dyDescent="0.2">
      <c r="A180" s="9" t="s">
        <v>199</v>
      </c>
      <c r="B180" s="5"/>
      <c r="C180" s="121"/>
      <c r="D180" s="250"/>
      <c r="E180" s="8"/>
      <c r="F180" s="216"/>
      <c r="G180" s="216"/>
      <c r="H180" s="110">
        <f>I180</f>
        <v>429020.39</v>
      </c>
      <c r="I180" s="110">
        <v>429020.39</v>
      </c>
      <c r="J180" s="8"/>
      <c r="K180" s="8"/>
      <c r="L180" s="52"/>
      <c r="M180" s="52"/>
      <c r="N180" s="52"/>
    </row>
    <row r="181" spans="1:16" ht="39" thickBot="1" x14ac:dyDescent="0.25">
      <c r="A181" s="16" t="s">
        <v>200</v>
      </c>
      <c r="B181" s="6"/>
      <c r="C181" s="187"/>
      <c r="D181" s="201"/>
      <c r="E181" s="13"/>
      <c r="F181" s="220"/>
      <c r="G181" s="220"/>
      <c r="H181" s="92">
        <f>I181</f>
        <v>8151387.4800000004</v>
      </c>
      <c r="I181" s="92">
        <v>8151387.4800000004</v>
      </c>
      <c r="J181" s="13"/>
      <c r="K181" s="13"/>
      <c r="L181" s="52"/>
      <c r="M181" s="52"/>
      <c r="N181" s="52"/>
    </row>
    <row r="182" spans="1:16" ht="56.25" customHeight="1" x14ac:dyDescent="0.2">
      <c r="A182" s="136" t="s">
        <v>176</v>
      </c>
      <c r="B182" s="99" t="s">
        <v>127</v>
      </c>
      <c r="C182" s="307" t="s">
        <v>190</v>
      </c>
      <c r="D182" s="317" t="s">
        <v>99</v>
      </c>
      <c r="E182" s="264" t="s">
        <v>191</v>
      </c>
      <c r="F182" s="292"/>
      <c r="G182" s="264" t="s">
        <v>191</v>
      </c>
      <c r="H182" s="33">
        <f>I182+J182+K182</f>
        <v>20400817</v>
      </c>
      <c r="I182" s="33">
        <f>SUM(I183)</f>
        <v>4829147.29</v>
      </c>
      <c r="J182" s="33">
        <f>SUM(J183)</f>
        <v>15571669.710000001</v>
      </c>
      <c r="K182" s="33">
        <f>SUM(K183)</f>
        <v>0</v>
      </c>
      <c r="L182" s="51"/>
      <c r="M182" s="51"/>
      <c r="N182" s="51"/>
      <c r="O182" s="51"/>
      <c r="P182" s="51"/>
    </row>
    <row r="183" spans="1:16" ht="26.25" thickBot="1" x14ac:dyDescent="0.25">
      <c r="A183" s="90" t="s">
        <v>96</v>
      </c>
      <c r="B183" s="96" t="s">
        <v>294</v>
      </c>
      <c r="C183" s="256"/>
      <c r="D183" s="246"/>
      <c r="E183" s="123"/>
      <c r="F183" s="13"/>
      <c r="G183" s="29"/>
      <c r="H183" s="13">
        <f>I183+J183+K183</f>
        <v>20400817</v>
      </c>
      <c r="I183" s="13">
        <f>4844147.29-5000-10000</f>
        <v>4829147.29</v>
      </c>
      <c r="J183" s="13">
        <v>15571669.710000001</v>
      </c>
      <c r="K183" s="13"/>
      <c r="L183" s="51"/>
      <c r="M183" s="51"/>
      <c r="N183" s="51"/>
      <c r="O183" s="51"/>
      <c r="P183" s="51"/>
    </row>
    <row r="184" spans="1:16" ht="38.25" x14ac:dyDescent="0.2">
      <c r="A184" s="136" t="s">
        <v>352</v>
      </c>
      <c r="B184" s="99" t="s">
        <v>127</v>
      </c>
      <c r="C184" s="35" t="s">
        <v>353</v>
      </c>
      <c r="D184" s="375" t="s">
        <v>355</v>
      </c>
      <c r="E184" s="264" t="s">
        <v>354</v>
      </c>
      <c r="F184" s="292"/>
      <c r="G184" s="264" t="s">
        <v>354</v>
      </c>
      <c r="H184" s="33">
        <f t="shared" ref="H184:H187" si="89">I184+J184+K184</f>
        <v>1706666.67</v>
      </c>
      <c r="I184" s="33">
        <f>SUM(I185)</f>
        <v>1706666.67</v>
      </c>
      <c r="J184" s="33">
        <f>SUM(J185)</f>
        <v>0</v>
      </c>
      <c r="K184" s="33">
        <f>SUM(K185)</f>
        <v>0</v>
      </c>
      <c r="L184" s="51"/>
      <c r="M184" s="51"/>
      <c r="N184" s="51"/>
      <c r="O184" s="51"/>
      <c r="P184" s="51"/>
    </row>
    <row r="185" spans="1:16" ht="26.25" thickBot="1" x14ac:dyDescent="0.25">
      <c r="A185" s="199" t="s">
        <v>96</v>
      </c>
      <c r="B185" s="340" t="s">
        <v>364</v>
      </c>
      <c r="C185" s="256"/>
      <c r="D185" s="201"/>
      <c r="E185" s="123"/>
      <c r="F185" s="13"/>
      <c r="G185" s="123"/>
      <c r="H185" s="13">
        <f t="shared" si="89"/>
        <v>1706666.67</v>
      </c>
      <c r="I185" s="13">
        <v>1706666.67</v>
      </c>
      <c r="J185" s="13"/>
      <c r="K185" s="13"/>
      <c r="L185" s="51"/>
      <c r="M185" s="51"/>
      <c r="N185" s="51"/>
      <c r="O185" s="51"/>
      <c r="P185" s="51"/>
    </row>
    <row r="186" spans="1:16" ht="38.25" x14ac:dyDescent="0.2">
      <c r="A186" s="136" t="s">
        <v>356</v>
      </c>
      <c r="B186" s="99" t="s">
        <v>127</v>
      </c>
      <c r="C186" s="35" t="s">
        <v>357</v>
      </c>
      <c r="D186" s="375" t="s">
        <v>355</v>
      </c>
      <c r="E186" s="264" t="s">
        <v>358</v>
      </c>
      <c r="F186" s="292"/>
      <c r="G186" s="264" t="s">
        <v>358</v>
      </c>
      <c r="H186" s="33">
        <f t="shared" si="89"/>
        <v>1920000</v>
      </c>
      <c r="I186" s="33">
        <f>SUM(I187)</f>
        <v>1920000</v>
      </c>
      <c r="J186" s="33">
        <f>SUM(J187)</f>
        <v>0</v>
      </c>
      <c r="K186" s="33">
        <f>SUM(K187)</f>
        <v>0</v>
      </c>
      <c r="L186" s="51"/>
      <c r="M186" s="51"/>
      <c r="N186" s="51"/>
      <c r="O186" s="51"/>
      <c r="P186" s="51"/>
    </row>
    <row r="187" spans="1:16" ht="26.25" thickBot="1" x14ac:dyDescent="0.25">
      <c r="A187" s="252" t="s">
        <v>96</v>
      </c>
      <c r="B187" s="380" t="s">
        <v>294</v>
      </c>
      <c r="C187" s="369"/>
      <c r="D187" s="376"/>
      <c r="E187" s="140"/>
      <c r="F187" s="26"/>
      <c r="G187" s="278"/>
      <c r="H187" s="26">
        <f t="shared" si="89"/>
        <v>1920000</v>
      </c>
      <c r="I187" s="26">
        <f>1910000+10000</f>
        <v>1920000</v>
      </c>
      <c r="J187" s="26"/>
      <c r="K187" s="26"/>
      <c r="L187" s="51"/>
      <c r="M187" s="51"/>
      <c r="N187" s="51"/>
      <c r="O187" s="51"/>
      <c r="P187" s="51"/>
    </row>
    <row r="188" spans="1:16" ht="63.75" x14ac:dyDescent="0.2">
      <c r="A188" s="136" t="s">
        <v>359</v>
      </c>
      <c r="B188" s="99" t="s">
        <v>127</v>
      </c>
      <c r="C188" s="89" t="s">
        <v>360</v>
      </c>
      <c r="D188" s="377" t="s">
        <v>355</v>
      </c>
      <c r="E188" s="264" t="s">
        <v>93</v>
      </c>
      <c r="F188" s="292">
        <v>15000</v>
      </c>
      <c r="G188" s="264" t="s">
        <v>429</v>
      </c>
      <c r="H188" s="33">
        <f>I188+J188+K188</f>
        <v>1578000</v>
      </c>
      <c r="I188" s="33">
        <f>SUM(I189)</f>
        <v>1578000</v>
      </c>
      <c r="J188" s="33">
        <f>SUM(J189)</f>
        <v>0</v>
      </c>
      <c r="K188" s="33">
        <f>SUM(K189)</f>
        <v>0</v>
      </c>
      <c r="L188" s="51"/>
      <c r="M188" s="51"/>
      <c r="N188" s="51"/>
      <c r="O188" s="51"/>
      <c r="P188" s="51"/>
    </row>
    <row r="189" spans="1:16" ht="26.25" thickBot="1" x14ac:dyDescent="0.25">
      <c r="A189" s="199" t="s">
        <v>96</v>
      </c>
      <c r="B189" s="340" t="s">
        <v>365</v>
      </c>
      <c r="C189" s="256"/>
      <c r="D189" s="12"/>
      <c r="E189" s="123"/>
      <c r="F189" s="13"/>
      <c r="G189" s="29"/>
      <c r="H189" s="13">
        <f>I189+J189+K189</f>
        <v>1578000</v>
      </c>
      <c r="I189" s="13">
        <v>1578000</v>
      </c>
      <c r="J189" s="13"/>
      <c r="K189" s="13"/>
      <c r="L189" s="51"/>
      <c r="M189" s="51"/>
      <c r="N189" s="51"/>
      <c r="O189" s="51"/>
      <c r="P189" s="51"/>
    </row>
    <row r="190" spans="1:16" ht="42.75" customHeight="1" x14ac:dyDescent="0.2">
      <c r="A190" s="368" t="s">
        <v>361</v>
      </c>
      <c r="B190" s="122" t="s">
        <v>119</v>
      </c>
      <c r="C190" s="113" t="s">
        <v>362</v>
      </c>
      <c r="D190" s="377" t="s">
        <v>355</v>
      </c>
      <c r="E190" s="132" t="s">
        <v>363</v>
      </c>
      <c r="F190" s="104">
        <v>8160</v>
      </c>
      <c r="G190" s="132" t="s">
        <v>430</v>
      </c>
      <c r="H190" s="33">
        <f>I190+J190+K190</f>
        <v>2762500</v>
      </c>
      <c r="I190" s="33">
        <f>SUM(I191)</f>
        <v>2762500</v>
      </c>
      <c r="J190" s="33">
        <f t="shared" ref="J190:K190" si="90">SUM(J191)</f>
        <v>0</v>
      </c>
      <c r="K190" s="33">
        <f t="shared" si="90"/>
        <v>0</v>
      </c>
      <c r="L190" s="51"/>
      <c r="M190" s="51"/>
      <c r="N190" s="51"/>
      <c r="O190" s="51"/>
      <c r="P190" s="51"/>
    </row>
    <row r="191" spans="1:16" ht="26.25" thickBot="1" x14ac:dyDescent="0.25">
      <c r="A191" s="199" t="s">
        <v>96</v>
      </c>
      <c r="B191" s="340" t="s">
        <v>365</v>
      </c>
      <c r="C191" s="256"/>
      <c r="D191" s="12"/>
      <c r="E191" s="123"/>
      <c r="F191" s="13"/>
      <c r="G191" s="29"/>
      <c r="H191" s="13">
        <f t="shared" ref="H191:H195" si="91">I191+J191+K191</f>
        <v>2762500</v>
      </c>
      <c r="I191" s="13">
        <f>2733000+29500</f>
        <v>2762500</v>
      </c>
      <c r="J191" s="13"/>
      <c r="K191" s="13"/>
      <c r="L191" s="51"/>
      <c r="M191" s="51"/>
      <c r="N191" s="51"/>
      <c r="O191" s="51"/>
      <c r="P191" s="51"/>
    </row>
    <row r="192" spans="1:16" ht="63.75" x14ac:dyDescent="0.2">
      <c r="A192" s="136" t="s">
        <v>366</v>
      </c>
      <c r="B192" s="34" t="s">
        <v>127</v>
      </c>
      <c r="C192" s="89" t="s">
        <v>367</v>
      </c>
      <c r="D192" s="377" t="s">
        <v>355</v>
      </c>
      <c r="E192" s="108" t="s">
        <v>368</v>
      </c>
      <c r="F192" s="81">
        <v>15000</v>
      </c>
      <c r="G192" s="108" t="s">
        <v>431</v>
      </c>
      <c r="H192" s="33">
        <f t="shared" si="91"/>
        <v>2872333.33</v>
      </c>
      <c r="I192" s="33">
        <f>SUM(I193)</f>
        <v>2872333.33</v>
      </c>
      <c r="J192" s="33">
        <f>SUM(J193)</f>
        <v>0</v>
      </c>
      <c r="K192" s="33">
        <f>SUM(K193)</f>
        <v>0</v>
      </c>
      <c r="L192" s="51"/>
      <c r="M192" s="51"/>
      <c r="N192" s="51"/>
      <c r="O192" s="51"/>
      <c r="P192" s="51"/>
    </row>
    <row r="193" spans="1:16" ht="26.25" thickBot="1" x14ac:dyDescent="0.25">
      <c r="A193" s="199" t="s">
        <v>96</v>
      </c>
      <c r="B193" s="340" t="s">
        <v>365</v>
      </c>
      <c r="C193" s="256"/>
      <c r="D193" s="12"/>
      <c r="E193" s="123"/>
      <c r="F193" s="13"/>
      <c r="G193" s="29"/>
      <c r="H193" s="13">
        <f t="shared" si="91"/>
        <v>2872333.33</v>
      </c>
      <c r="I193" s="13">
        <v>2872333.33</v>
      </c>
      <c r="J193" s="13"/>
      <c r="K193" s="13"/>
      <c r="L193" s="51"/>
      <c r="M193" s="51"/>
      <c r="N193" s="51"/>
      <c r="O193" s="51"/>
      <c r="P193" s="51"/>
    </row>
    <row r="194" spans="1:16" ht="76.5" x14ac:dyDescent="0.2">
      <c r="A194" s="251" t="s">
        <v>369</v>
      </c>
      <c r="B194" s="99" t="s">
        <v>127</v>
      </c>
      <c r="C194" s="89" t="s">
        <v>370</v>
      </c>
      <c r="D194" s="377" t="s">
        <v>355</v>
      </c>
      <c r="E194" s="108" t="s">
        <v>371</v>
      </c>
      <c r="F194" s="81">
        <v>341110.44</v>
      </c>
      <c r="G194" s="264" t="s">
        <v>432</v>
      </c>
      <c r="H194" s="33">
        <f t="shared" si="91"/>
        <v>2385265</v>
      </c>
      <c r="I194" s="33">
        <f>SUM(I195)</f>
        <v>2385265</v>
      </c>
      <c r="J194" s="33">
        <f t="shared" ref="J194:K196" si="92">SUM(J195)</f>
        <v>0</v>
      </c>
      <c r="K194" s="33">
        <f t="shared" si="92"/>
        <v>0</v>
      </c>
      <c r="L194" s="51"/>
      <c r="M194" s="51"/>
      <c r="N194" s="51"/>
      <c r="O194" s="51"/>
      <c r="P194" s="51"/>
    </row>
    <row r="195" spans="1:16" ht="26.25" thickBot="1" x14ac:dyDescent="0.25">
      <c r="A195" s="199" t="s">
        <v>96</v>
      </c>
      <c r="B195" s="340" t="s">
        <v>365</v>
      </c>
      <c r="C195" s="148"/>
      <c r="D195" s="378"/>
      <c r="E195" s="140"/>
      <c r="F195" s="106"/>
      <c r="G195" s="140"/>
      <c r="H195" s="13">
        <f t="shared" si="91"/>
        <v>2385265</v>
      </c>
      <c r="I195" s="26">
        <v>2385265</v>
      </c>
      <c r="J195" s="26"/>
      <c r="K195" s="26"/>
      <c r="L195" s="51"/>
      <c r="M195" s="51"/>
      <c r="N195" s="51"/>
      <c r="O195" s="51"/>
      <c r="P195" s="51"/>
    </row>
    <row r="196" spans="1:16" ht="63.75" x14ac:dyDescent="0.2">
      <c r="A196" s="251" t="s">
        <v>425</v>
      </c>
      <c r="B196" s="257" t="s">
        <v>426</v>
      </c>
      <c r="C196" s="307" t="s">
        <v>433</v>
      </c>
      <c r="D196" s="318" t="s">
        <v>128</v>
      </c>
      <c r="E196" s="264">
        <v>1399872</v>
      </c>
      <c r="F196" s="292">
        <v>1394872</v>
      </c>
      <c r="G196" s="264">
        <f>E196-F196</f>
        <v>5000</v>
      </c>
      <c r="H196" s="33">
        <f t="shared" ref="H196:H197" si="93">I196+J196+K196</f>
        <v>5000</v>
      </c>
      <c r="I196" s="33">
        <f>SUM(I197)</f>
        <v>5000</v>
      </c>
      <c r="J196" s="33">
        <f t="shared" si="92"/>
        <v>0</v>
      </c>
      <c r="K196" s="33">
        <f t="shared" si="92"/>
        <v>0</v>
      </c>
      <c r="L196" s="51"/>
      <c r="M196" s="51"/>
      <c r="N196" s="51"/>
      <c r="O196" s="51"/>
      <c r="P196" s="51"/>
    </row>
    <row r="197" spans="1:16" ht="26.25" thickBot="1" x14ac:dyDescent="0.25">
      <c r="A197" s="199" t="s">
        <v>96</v>
      </c>
      <c r="B197" s="340" t="s">
        <v>365</v>
      </c>
      <c r="C197" s="133"/>
      <c r="D197" s="187"/>
      <c r="E197" s="123"/>
      <c r="F197" s="88"/>
      <c r="G197" s="123"/>
      <c r="H197" s="13">
        <f t="shared" si="93"/>
        <v>5000</v>
      </c>
      <c r="I197" s="26">
        <v>5000</v>
      </c>
      <c r="J197" s="26"/>
      <c r="K197" s="26"/>
      <c r="L197" s="51"/>
      <c r="M197" s="51"/>
      <c r="N197" s="51"/>
      <c r="O197" s="51"/>
      <c r="P197" s="51"/>
    </row>
    <row r="198" spans="1:16" ht="89.25" x14ac:dyDescent="0.2">
      <c r="A198" s="356" t="s">
        <v>379</v>
      </c>
      <c r="B198" s="24" t="s">
        <v>119</v>
      </c>
      <c r="C198" s="159" t="s">
        <v>380</v>
      </c>
      <c r="D198" s="381" t="s">
        <v>381</v>
      </c>
      <c r="E198" s="205">
        <v>17644438.41</v>
      </c>
      <c r="F198" s="98">
        <v>15394528.24</v>
      </c>
      <c r="G198" s="157">
        <f>E198-F198</f>
        <v>2249910.17</v>
      </c>
      <c r="H198" s="14">
        <f t="shared" ref="H198:H201" si="94">I198+J198+K198</f>
        <v>111652.06</v>
      </c>
      <c r="I198" s="14">
        <f>SUM(I199)</f>
        <v>111652.06</v>
      </c>
      <c r="J198" s="14">
        <f t="shared" ref="J198" si="95">SUM(J199)</f>
        <v>0</v>
      </c>
      <c r="K198" s="14">
        <f t="shared" ref="K198" si="96">SUM(K199)</f>
        <v>0</v>
      </c>
      <c r="L198" s="51"/>
      <c r="M198" s="51"/>
      <c r="N198" s="51"/>
      <c r="O198" s="51"/>
      <c r="P198" s="51"/>
    </row>
    <row r="199" spans="1:16" ht="26.25" thickBot="1" x14ac:dyDescent="0.25">
      <c r="A199" s="199" t="s">
        <v>97</v>
      </c>
      <c r="B199" s="340" t="s">
        <v>382</v>
      </c>
      <c r="C199" s="133"/>
      <c r="D199" s="187"/>
      <c r="E199" s="123"/>
      <c r="F199" s="88"/>
      <c r="G199" s="123"/>
      <c r="H199" s="13">
        <f t="shared" si="94"/>
        <v>111652.06</v>
      </c>
      <c r="I199" s="13">
        <v>111652.06</v>
      </c>
      <c r="J199" s="13"/>
      <c r="K199" s="13"/>
      <c r="L199" s="51"/>
      <c r="M199" s="51"/>
      <c r="N199" s="51"/>
      <c r="O199" s="51"/>
      <c r="P199" s="51"/>
    </row>
    <row r="200" spans="1:16" ht="63.75" x14ac:dyDescent="0.2">
      <c r="A200" s="136" t="s">
        <v>383</v>
      </c>
      <c r="B200" s="34" t="s">
        <v>119</v>
      </c>
      <c r="C200" s="89" t="s">
        <v>384</v>
      </c>
      <c r="D200" s="377" t="s">
        <v>381</v>
      </c>
      <c r="E200" s="108">
        <v>4906720</v>
      </c>
      <c r="F200" s="81">
        <v>2052631</v>
      </c>
      <c r="G200" s="108">
        <f>E200-F200</f>
        <v>2854089</v>
      </c>
      <c r="H200" s="33">
        <f t="shared" si="94"/>
        <v>162487.72</v>
      </c>
      <c r="I200" s="33">
        <f>SUM(I201)</f>
        <v>162487.72</v>
      </c>
      <c r="J200" s="33">
        <f t="shared" ref="J200:K200" si="97">SUM(J201)</f>
        <v>0</v>
      </c>
      <c r="K200" s="33">
        <f t="shared" si="97"/>
        <v>0</v>
      </c>
      <c r="L200" s="51"/>
      <c r="M200" s="51"/>
      <c r="N200" s="51"/>
      <c r="O200" s="51"/>
      <c r="P200" s="51"/>
    </row>
    <row r="201" spans="1:16" ht="26.25" thickBot="1" x14ac:dyDescent="0.25">
      <c r="A201" s="338" t="s">
        <v>97</v>
      </c>
      <c r="B201" s="339" t="s">
        <v>385</v>
      </c>
      <c r="C201" s="382"/>
      <c r="D201" s="383"/>
      <c r="E201" s="384"/>
      <c r="F201" s="385"/>
      <c r="G201" s="384"/>
      <c r="H201" s="15">
        <f t="shared" si="94"/>
        <v>162487.72</v>
      </c>
      <c r="I201" s="15">
        <v>162487.72</v>
      </c>
      <c r="J201" s="15"/>
      <c r="K201" s="15"/>
      <c r="L201" s="51"/>
      <c r="M201" s="51"/>
      <c r="N201" s="51"/>
      <c r="O201" s="51"/>
      <c r="P201" s="51"/>
    </row>
    <row r="202" spans="1:16" ht="63.75" x14ac:dyDescent="0.2">
      <c r="A202" s="136" t="s">
        <v>386</v>
      </c>
      <c r="B202" s="99" t="s">
        <v>119</v>
      </c>
      <c r="C202" s="89" t="s">
        <v>387</v>
      </c>
      <c r="D202" s="32" t="s">
        <v>128</v>
      </c>
      <c r="E202" s="264">
        <f>F202+G202</f>
        <v>5362947.74</v>
      </c>
      <c r="F202" s="81">
        <v>1621039.93</v>
      </c>
      <c r="G202" s="108">
        <v>3741907.81</v>
      </c>
      <c r="H202" s="33">
        <f t="shared" ref="H202:H203" si="98">I202+J202+K202</f>
        <v>175995.39</v>
      </c>
      <c r="I202" s="33">
        <f>SUM(I203)</f>
        <v>175995.39</v>
      </c>
      <c r="J202" s="33">
        <f t="shared" ref="J202:J206" si="99">SUM(J203)</f>
        <v>0</v>
      </c>
      <c r="K202" s="33">
        <f t="shared" ref="K202:K206" si="100">SUM(K203)</f>
        <v>0</v>
      </c>
      <c r="L202" s="51"/>
      <c r="M202" s="51"/>
      <c r="N202" s="51"/>
      <c r="O202" s="51"/>
      <c r="P202" s="51"/>
    </row>
    <row r="203" spans="1:16" ht="26.25" thickBot="1" x14ac:dyDescent="0.25">
      <c r="A203" s="199" t="s">
        <v>97</v>
      </c>
      <c r="B203" s="340" t="s">
        <v>388</v>
      </c>
      <c r="C203" s="133"/>
      <c r="D203" s="387"/>
      <c r="E203" s="388"/>
      <c r="F203" s="389"/>
      <c r="G203" s="388"/>
      <c r="H203" s="13">
        <f t="shared" si="98"/>
        <v>175995.39</v>
      </c>
      <c r="I203" s="13">
        <v>175995.39</v>
      </c>
      <c r="J203" s="13"/>
      <c r="K203" s="13"/>
      <c r="L203" s="51"/>
      <c r="M203" s="51"/>
      <c r="N203" s="51"/>
      <c r="O203" s="51"/>
      <c r="P203" s="51"/>
    </row>
    <row r="204" spans="1:16" ht="38.25" x14ac:dyDescent="0.2">
      <c r="A204" s="94" t="s">
        <v>394</v>
      </c>
      <c r="B204" s="41" t="s">
        <v>119</v>
      </c>
      <c r="C204" s="35" t="s">
        <v>395</v>
      </c>
      <c r="D204" s="375" t="s">
        <v>396</v>
      </c>
      <c r="E204" s="264">
        <v>31823300</v>
      </c>
      <c r="F204" s="81">
        <v>1159696</v>
      </c>
      <c r="G204" s="264">
        <f>E204-F204</f>
        <v>30663604</v>
      </c>
      <c r="H204" s="33">
        <f t="shared" ref="H204:H205" si="101">I204+J204+K204</f>
        <v>1591165</v>
      </c>
      <c r="I204" s="33">
        <f>SUM(I205)</f>
        <v>1591165</v>
      </c>
      <c r="J204" s="33">
        <f t="shared" si="99"/>
        <v>0</v>
      </c>
      <c r="K204" s="33">
        <f t="shared" si="100"/>
        <v>0</v>
      </c>
      <c r="L204" s="51"/>
      <c r="M204" s="51"/>
      <c r="N204" s="51"/>
      <c r="O204" s="51"/>
      <c r="P204" s="51"/>
    </row>
    <row r="205" spans="1:16" ht="26.25" thickBot="1" x14ac:dyDescent="0.25">
      <c r="A205" s="199" t="s">
        <v>97</v>
      </c>
      <c r="B205" s="340" t="s">
        <v>397</v>
      </c>
      <c r="C205" s="133"/>
      <c r="D205" s="387"/>
      <c r="E205" s="388"/>
      <c r="F205" s="389"/>
      <c r="G205" s="388"/>
      <c r="H205" s="13">
        <f t="shared" si="101"/>
        <v>1591165</v>
      </c>
      <c r="I205" s="13">
        <v>1591165</v>
      </c>
      <c r="J205" s="13"/>
      <c r="K205" s="13"/>
      <c r="L205" s="51"/>
      <c r="M205" s="51"/>
      <c r="N205" s="51"/>
      <c r="O205" s="51"/>
      <c r="P205" s="51"/>
    </row>
    <row r="206" spans="1:16" ht="54" customHeight="1" x14ac:dyDescent="0.2">
      <c r="A206" s="251" t="s">
        <v>398</v>
      </c>
      <c r="B206" s="34" t="s">
        <v>119</v>
      </c>
      <c r="C206" s="89" t="s">
        <v>399</v>
      </c>
      <c r="D206" s="91" t="s">
        <v>128</v>
      </c>
      <c r="E206" s="264">
        <v>11086180</v>
      </c>
      <c r="F206" s="81">
        <v>1319160</v>
      </c>
      <c r="G206" s="108">
        <f>E206-F206</f>
        <v>9767020</v>
      </c>
      <c r="H206" s="33">
        <f t="shared" ref="H206:H207" si="102">I206+J206+K206</f>
        <v>550595.5</v>
      </c>
      <c r="I206" s="33">
        <f>SUM(I207)</f>
        <v>550595.5</v>
      </c>
      <c r="J206" s="33">
        <f t="shared" si="99"/>
        <v>0</v>
      </c>
      <c r="K206" s="33">
        <f t="shared" si="100"/>
        <v>0</v>
      </c>
      <c r="L206" s="51"/>
      <c r="M206" s="51"/>
      <c r="N206" s="51"/>
      <c r="O206" s="51"/>
      <c r="P206" s="51"/>
    </row>
    <row r="207" spans="1:16" ht="26.25" thickBot="1" x14ac:dyDescent="0.25">
      <c r="A207" s="199" t="s">
        <v>97</v>
      </c>
      <c r="B207" s="340" t="s">
        <v>400</v>
      </c>
      <c r="C207" s="133"/>
      <c r="D207" s="387"/>
      <c r="E207" s="388"/>
      <c r="F207" s="389"/>
      <c r="G207" s="388"/>
      <c r="H207" s="13">
        <f t="shared" si="102"/>
        <v>550595.5</v>
      </c>
      <c r="I207" s="13">
        <v>550595.5</v>
      </c>
      <c r="J207" s="13"/>
      <c r="K207" s="13"/>
      <c r="L207" s="51"/>
      <c r="M207" s="51"/>
      <c r="N207" s="51"/>
      <c r="O207" s="51"/>
      <c r="P207" s="51"/>
    </row>
    <row r="208" spans="1:16" ht="51" x14ac:dyDescent="0.2">
      <c r="A208" s="94" t="s">
        <v>210</v>
      </c>
      <c r="B208" s="99" t="s">
        <v>127</v>
      </c>
      <c r="C208" s="307" t="s">
        <v>214</v>
      </c>
      <c r="D208" s="318" t="s">
        <v>102</v>
      </c>
      <c r="E208" s="264" t="s">
        <v>219</v>
      </c>
      <c r="F208" s="292"/>
      <c r="G208" s="264" t="s">
        <v>219</v>
      </c>
      <c r="H208" s="33">
        <f t="shared" ref="H208:H209" si="103">I208+J208+K208</f>
        <v>1100000</v>
      </c>
      <c r="I208" s="33">
        <f>SUM(I209)</f>
        <v>0</v>
      </c>
      <c r="J208" s="33">
        <f>SUM(J209)</f>
        <v>1100000</v>
      </c>
      <c r="K208" s="33">
        <f>SUM(K209)</f>
        <v>0</v>
      </c>
      <c r="L208" s="51"/>
      <c r="M208" s="51"/>
      <c r="N208" s="51"/>
      <c r="O208" s="51"/>
      <c r="P208" s="51"/>
    </row>
    <row r="209" spans="1:18" ht="26.25" thickBot="1" x14ac:dyDescent="0.25">
      <c r="A209" s="90" t="s">
        <v>96</v>
      </c>
      <c r="B209" s="96" t="s">
        <v>294</v>
      </c>
      <c r="C209" s="319"/>
      <c r="D209" s="320"/>
      <c r="E209" s="321"/>
      <c r="F209" s="315"/>
      <c r="G209" s="321"/>
      <c r="H209" s="26">
        <f t="shared" si="103"/>
        <v>1100000</v>
      </c>
      <c r="I209" s="26"/>
      <c r="J209" s="26">
        <v>1100000</v>
      </c>
      <c r="K209" s="26"/>
      <c r="L209" s="51"/>
      <c r="M209" s="51"/>
      <c r="N209" s="51"/>
      <c r="O209" s="51"/>
      <c r="P209" s="51"/>
    </row>
    <row r="210" spans="1:18" ht="40.5" customHeight="1" x14ac:dyDescent="0.2">
      <c r="A210" s="139" t="s">
        <v>177</v>
      </c>
      <c r="B210" s="24" t="s">
        <v>127</v>
      </c>
      <c r="C210" s="307" t="s">
        <v>215</v>
      </c>
      <c r="D210" s="322" t="s">
        <v>102</v>
      </c>
      <c r="E210" s="264" t="s">
        <v>221</v>
      </c>
      <c r="F210" s="292"/>
      <c r="G210" s="264" t="s">
        <v>221</v>
      </c>
      <c r="H210" s="33">
        <f>I210+J210+K210</f>
        <v>2500000</v>
      </c>
      <c r="I210" s="33">
        <f>SUM(I211:I211)</f>
        <v>0</v>
      </c>
      <c r="J210" s="33">
        <f t="shared" ref="J210:K210" si="104">SUM(J211:J211)</f>
        <v>2500000</v>
      </c>
      <c r="K210" s="33">
        <f t="shared" si="104"/>
        <v>0</v>
      </c>
      <c r="L210" s="51"/>
      <c r="M210" s="51"/>
      <c r="N210" s="51"/>
      <c r="O210" s="51"/>
      <c r="P210" s="51"/>
    </row>
    <row r="211" spans="1:18" ht="29.25" customHeight="1" thickBot="1" x14ac:dyDescent="0.25">
      <c r="A211" s="345" t="s">
        <v>96</v>
      </c>
      <c r="B211" s="96" t="s">
        <v>294</v>
      </c>
      <c r="C211" s="326"/>
      <c r="D211" s="326"/>
      <c r="E211" s="275"/>
      <c r="F211" s="263"/>
      <c r="G211" s="275"/>
      <c r="H211" s="13">
        <f t="shared" si="86"/>
        <v>2500000</v>
      </c>
      <c r="I211" s="8"/>
      <c r="J211" s="8">
        <f>3500000-1000000</f>
        <v>2500000</v>
      </c>
      <c r="K211" s="8"/>
      <c r="L211" s="208"/>
      <c r="M211" s="51"/>
      <c r="N211" s="51"/>
    </row>
    <row r="212" spans="1:18" ht="68.25" customHeight="1" x14ac:dyDescent="0.2">
      <c r="A212" s="136" t="s">
        <v>285</v>
      </c>
      <c r="B212" s="34" t="s">
        <v>127</v>
      </c>
      <c r="C212" s="307" t="s">
        <v>216</v>
      </c>
      <c r="D212" s="318" t="s">
        <v>102</v>
      </c>
      <c r="E212" s="264" t="s">
        <v>225</v>
      </c>
      <c r="F212" s="292"/>
      <c r="G212" s="264" t="s">
        <v>225</v>
      </c>
      <c r="H212" s="33">
        <f>I212+J212+K212</f>
        <v>1000000</v>
      </c>
      <c r="I212" s="33">
        <f>SUM(I213:I213)</f>
        <v>0</v>
      </c>
      <c r="J212" s="33">
        <f>SUM(J213:J213)</f>
        <v>1000000</v>
      </c>
      <c r="K212" s="33">
        <f>SUM(K213:K213)</f>
        <v>0</v>
      </c>
      <c r="L212" s="52"/>
      <c r="M212" s="52"/>
      <c r="N212" s="52"/>
      <c r="O212" s="52"/>
      <c r="P212" s="52"/>
      <c r="Q212" s="52"/>
      <c r="R212" s="52"/>
    </row>
    <row r="213" spans="1:18" ht="26.25" thickBot="1" x14ac:dyDescent="0.25">
      <c r="A213" s="16" t="s">
        <v>96</v>
      </c>
      <c r="B213" s="96" t="s">
        <v>294</v>
      </c>
      <c r="C213" s="394"/>
      <c r="D213" s="326"/>
      <c r="E213" s="310"/>
      <c r="F213" s="311"/>
      <c r="G213" s="310"/>
      <c r="H213" s="13">
        <f t="shared" ref="H213" si="105">I213+J213+K213</f>
        <v>1000000</v>
      </c>
      <c r="I213" s="13"/>
      <c r="J213" s="13">
        <f>2000000-1000000</f>
        <v>1000000</v>
      </c>
      <c r="K213" s="13"/>
      <c r="L213" s="52"/>
      <c r="M213" s="51"/>
      <c r="N213" s="52"/>
      <c r="O213" s="52"/>
      <c r="P213" s="52"/>
      <c r="Q213" s="52"/>
      <c r="R213" s="52"/>
    </row>
    <row r="214" spans="1:18" ht="67.5" customHeight="1" x14ac:dyDescent="0.2">
      <c r="A214" s="136" t="s">
        <v>178</v>
      </c>
      <c r="B214" s="34" t="s">
        <v>127</v>
      </c>
      <c r="C214" s="307" t="s">
        <v>217</v>
      </c>
      <c r="D214" s="322" t="s">
        <v>102</v>
      </c>
      <c r="E214" s="264" t="s">
        <v>226</v>
      </c>
      <c r="F214" s="292"/>
      <c r="G214" s="264" t="s">
        <v>226</v>
      </c>
      <c r="H214" s="33">
        <f>I214+J214+K214</f>
        <v>1000000</v>
      </c>
      <c r="I214" s="33">
        <f>SUM(I215:I215)</f>
        <v>0</v>
      </c>
      <c r="J214" s="33">
        <f>SUM(J215:J215)</f>
        <v>1000000</v>
      </c>
      <c r="K214" s="33">
        <f>SUM(K215:K215)</f>
        <v>0</v>
      </c>
      <c r="L214" s="52"/>
      <c r="M214" s="52"/>
      <c r="N214" s="52"/>
      <c r="O214" s="52"/>
      <c r="P214" s="52"/>
      <c r="Q214" s="52"/>
      <c r="R214" s="52"/>
    </row>
    <row r="215" spans="1:18" ht="26.25" thickBot="1" x14ac:dyDescent="0.25">
      <c r="A215" s="9" t="s">
        <v>96</v>
      </c>
      <c r="B215" s="96" t="s">
        <v>294</v>
      </c>
      <c r="C215" s="324"/>
      <c r="D215" s="295"/>
      <c r="E215" s="314"/>
      <c r="F215" s="296"/>
      <c r="G215" s="314"/>
      <c r="H215" s="8">
        <f t="shared" ref="H215" si="106">I215+J215+K215</f>
        <v>1000000</v>
      </c>
      <c r="I215" s="8"/>
      <c r="J215" s="8">
        <f>2000000-1000000</f>
        <v>1000000</v>
      </c>
      <c r="K215" s="8"/>
      <c r="L215" s="52"/>
      <c r="M215" s="51"/>
      <c r="N215" s="52"/>
      <c r="O215" s="52"/>
      <c r="P215" s="52"/>
      <c r="Q215" s="52"/>
      <c r="R215" s="52"/>
    </row>
    <row r="216" spans="1:18" ht="54.75" customHeight="1" x14ac:dyDescent="0.2">
      <c r="A216" s="136" t="s">
        <v>290</v>
      </c>
      <c r="B216" s="34" t="s">
        <v>127</v>
      </c>
      <c r="C216" s="307" t="s">
        <v>70</v>
      </c>
      <c r="D216" s="307" t="s">
        <v>179</v>
      </c>
      <c r="E216" s="264" t="s">
        <v>228</v>
      </c>
      <c r="F216" s="292"/>
      <c r="G216" s="264" t="s">
        <v>228</v>
      </c>
      <c r="H216" s="33">
        <f>I216+J216+K216</f>
        <v>1000000</v>
      </c>
      <c r="I216" s="33">
        <f>SUM(I217:I217)</f>
        <v>0</v>
      </c>
      <c r="J216" s="33">
        <f>SUM(J217:J217)</f>
        <v>1000000</v>
      </c>
      <c r="K216" s="33">
        <f>SUM(K217:K217)</f>
        <v>0</v>
      </c>
      <c r="L216" s="52"/>
      <c r="M216" s="52"/>
      <c r="N216" s="52"/>
      <c r="O216" s="52"/>
      <c r="P216" s="52"/>
      <c r="Q216" s="52"/>
      <c r="R216" s="52"/>
    </row>
    <row r="217" spans="1:18" ht="26.25" thickBot="1" x14ac:dyDescent="0.25">
      <c r="A217" s="16" t="s">
        <v>96</v>
      </c>
      <c r="B217" s="96" t="s">
        <v>294</v>
      </c>
      <c r="C217" s="325"/>
      <c r="D217" s="326"/>
      <c r="E217" s="310"/>
      <c r="F217" s="311"/>
      <c r="G217" s="310"/>
      <c r="H217" s="8">
        <f t="shared" ref="H217" si="107">I217+J217+K217</f>
        <v>1000000</v>
      </c>
      <c r="I217" s="8"/>
      <c r="J217" s="8">
        <f>2000000-1000000</f>
        <v>1000000</v>
      </c>
      <c r="K217" s="8"/>
      <c r="L217" s="52"/>
      <c r="M217" s="51"/>
      <c r="N217" s="52"/>
      <c r="O217" s="52"/>
      <c r="P217" s="52"/>
      <c r="Q217" s="52"/>
      <c r="R217" s="52"/>
    </row>
    <row r="218" spans="1:18" ht="42.75" customHeight="1" x14ac:dyDescent="0.2">
      <c r="A218" s="136" t="s">
        <v>180</v>
      </c>
      <c r="B218" s="34" t="s">
        <v>127</v>
      </c>
      <c r="C218" s="307" t="s">
        <v>218</v>
      </c>
      <c r="D218" s="307" t="s">
        <v>179</v>
      </c>
      <c r="E218" s="264" t="s">
        <v>229</v>
      </c>
      <c r="F218" s="292"/>
      <c r="G218" s="264" t="s">
        <v>229</v>
      </c>
      <c r="H218" s="33">
        <f>I218+J218+K218</f>
        <v>1000000</v>
      </c>
      <c r="I218" s="33">
        <f>SUM(I219:I219)</f>
        <v>0</v>
      </c>
      <c r="J218" s="33">
        <f>SUM(J219:J219)</f>
        <v>1000000</v>
      </c>
      <c r="K218" s="33">
        <f>SUM(K219:K219)</f>
        <v>0</v>
      </c>
      <c r="L218" s="52"/>
      <c r="M218" s="52"/>
      <c r="N218" s="52"/>
      <c r="O218" s="52"/>
      <c r="P218" s="52"/>
      <c r="Q218" s="52"/>
      <c r="R218" s="52"/>
    </row>
    <row r="219" spans="1:18" ht="26.25" thickBot="1" x14ac:dyDescent="0.25">
      <c r="A219" s="16" t="s">
        <v>96</v>
      </c>
      <c r="B219" s="96" t="s">
        <v>294</v>
      </c>
      <c r="C219" s="219"/>
      <c r="D219" s="246"/>
      <c r="E219" s="226"/>
      <c r="F219" s="220"/>
      <c r="G219" s="237"/>
      <c r="H219" s="8">
        <f t="shared" ref="H219" si="108">I219+J219+K219</f>
        <v>1000000</v>
      </c>
      <c r="I219" s="8"/>
      <c r="J219" s="8">
        <v>1000000</v>
      </c>
      <c r="K219" s="8"/>
      <c r="L219" s="52"/>
      <c r="M219" s="52"/>
      <c r="N219" s="52"/>
      <c r="O219" s="52"/>
      <c r="P219" s="52"/>
      <c r="Q219" s="52"/>
      <c r="R219" s="52"/>
    </row>
    <row r="220" spans="1:18" ht="38.25" x14ac:dyDescent="0.2">
      <c r="A220" s="94" t="s">
        <v>181</v>
      </c>
      <c r="B220" s="41" t="s">
        <v>127</v>
      </c>
      <c r="C220" s="307" t="s">
        <v>220</v>
      </c>
      <c r="D220" s="307" t="s">
        <v>179</v>
      </c>
      <c r="E220" s="264" t="s">
        <v>90</v>
      </c>
      <c r="F220" s="292"/>
      <c r="G220" s="264" t="s">
        <v>90</v>
      </c>
      <c r="H220" s="33">
        <f>I220+J220+K220</f>
        <v>1000000</v>
      </c>
      <c r="I220" s="33">
        <f>SUM(I221:I221)</f>
        <v>0</v>
      </c>
      <c r="J220" s="33">
        <f>SUM(J221:J221)</f>
        <v>1000000</v>
      </c>
      <c r="K220" s="33">
        <f>SUM(K221:K221)</f>
        <v>0</v>
      </c>
      <c r="L220" s="52"/>
      <c r="M220" s="52"/>
      <c r="N220" s="52"/>
      <c r="O220" s="52"/>
      <c r="P220" s="52"/>
      <c r="Q220" s="52"/>
      <c r="R220" s="52"/>
    </row>
    <row r="221" spans="1:18" ht="26.25" thickBot="1" x14ac:dyDescent="0.25">
      <c r="A221" s="16" t="s">
        <v>96</v>
      </c>
      <c r="B221" s="96" t="s">
        <v>294</v>
      </c>
      <c r="C221" s="325"/>
      <c r="D221" s="326"/>
      <c r="E221" s="310"/>
      <c r="F221" s="311"/>
      <c r="G221" s="310"/>
      <c r="H221" s="13">
        <f t="shared" ref="H221" si="109">I221+J221+K221</f>
        <v>1000000</v>
      </c>
      <c r="I221" s="13"/>
      <c r="J221" s="13">
        <f>2000000-1000000</f>
        <v>1000000</v>
      </c>
      <c r="K221" s="13"/>
      <c r="L221" s="52"/>
      <c r="M221" s="51"/>
      <c r="N221" s="52"/>
      <c r="O221" s="52"/>
      <c r="P221" s="52"/>
      <c r="Q221" s="52"/>
      <c r="R221" s="52"/>
    </row>
    <row r="222" spans="1:18" ht="51" x14ac:dyDescent="0.2">
      <c r="A222" s="136" t="s">
        <v>209</v>
      </c>
      <c r="B222" s="99" t="s">
        <v>127</v>
      </c>
      <c r="C222" s="307" t="s">
        <v>222</v>
      </c>
      <c r="D222" s="307" t="s">
        <v>179</v>
      </c>
      <c r="E222" s="264" t="s">
        <v>230</v>
      </c>
      <c r="F222" s="292"/>
      <c r="G222" s="264" t="s">
        <v>230</v>
      </c>
      <c r="H222" s="33">
        <f t="shared" ref="H222:H227" si="110">I222+J222+K222</f>
        <v>1389938.32</v>
      </c>
      <c r="I222" s="33">
        <f>SUM(I223)</f>
        <v>0</v>
      </c>
      <c r="J222" s="33">
        <f>SUM(J223)</f>
        <v>1389938.32</v>
      </c>
      <c r="K222" s="33">
        <f>SUM(K223)</f>
        <v>0</v>
      </c>
      <c r="L222" s="52"/>
      <c r="M222" s="52"/>
      <c r="N222" s="52"/>
      <c r="O222" s="52"/>
      <c r="P222" s="52"/>
      <c r="Q222" s="52"/>
      <c r="R222" s="52"/>
    </row>
    <row r="223" spans="1:18" ht="26.25" thickBot="1" x14ac:dyDescent="0.25">
      <c r="A223" s="16" t="s">
        <v>96</v>
      </c>
      <c r="B223" s="96" t="s">
        <v>294</v>
      </c>
      <c r="C223" s="219"/>
      <c r="D223" s="244"/>
      <c r="E223" s="226"/>
      <c r="F223" s="220"/>
      <c r="G223" s="226"/>
      <c r="H223" s="13">
        <f t="shared" si="110"/>
        <v>1389938.32</v>
      </c>
      <c r="I223" s="13"/>
      <c r="J223" s="263">
        <v>1389938.32</v>
      </c>
      <c r="K223" s="13"/>
      <c r="L223" s="52"/>
      <c r="M223" s="52"/>
      <c r="N223" s="52"/>
      <c r="O223" s="52"/>
      <c r="P223" s="52"/>
      <c r="Q223" s="52"/>
      <c r="R223" s="52"/>
    </row>
    <row r="224" spans="1:18" ht="69" customHeight="1" x14ac:dyDescent="0.2">
      <c r="A224" s="136" t="s">
        <v>182</v>
      </c>
      <c r="B224" s="99" t="s">
        <v>127</v>
      </c>
      <c r="C224" s="307" t="s">
        <v>223</v>
      </c>
      <c r="D224" s="89" t="s">
        <v>179</v>
      </c>
      <c r="E224" s="264" t="s">
        <v>231</v>
      </c>
      <c r="F224" s="292"/>
      <c r="G224" s="264" t="s">
        <v>231</v>
      </c>
      <c r="H224" s="33">
        <f t="shared" si="110"/>
        <v>1600000</v>
      </c>
      <c r="I224" s="33">
        <f>SUM(I225)</f>
        <v>0</v>
      </c>
      <c r="J224" s="33">
        <f>SUM(J225)</f>
        <v>1600000</v>
      </c>
      <c r="K224" s="33">
        <f>SUM(K225)</f>
        <v>0</v>
      </c>
      <c r="L224" s="52"/>
      <c r="M224" s="52"/>
      <c r="N224" s="52"/>
      <c r="O224" s="52"/>
      <c r="P224" s="52"/>
      <c r="Q224" s="52"/>
      <c r="R224" s="52"/>
    </row>
    <row r="225" spans="1:18" ht="26.25" thickBot="1" x14ac:dyDescent="0.25">
      <c r="A225" s="78" t="s">
        <v>96</v>
      </c>
      <c r="B225" s="96" t="s">
        <v>294</v>
      </c>
      <c r="C225" s="249"/>
      <c r="D225" s="247"/>
      <c r="E225" s="228"/>
      <c r="F225" s="248"/>
      <c r="G225" s="238"/>
      <c r="H225" s="26">
        <f t="shared" si="110"/>
        <v>1600000</v>
      </c>
      <c r="I225" s="26"/>
      <c r="J225" s="26">
        <f>2600000-1000000</f>
        <v>1600000</v>
      </c>
      <c r="K225" s="26"/>
      <c r="L225" s="52"/>
      <c r="M225" s="51"/>
      <c r="N225" s="52"/>
      <c r="O225" s="52"/>
      <c r="P225" s="52"/>
      <c r="Q225" s="52"/>
      <c r="R225" s="52"/>
    </row>
    <row r="226" spans="1:18" ht="38.25" x14ac:dyDescent="0.2">
      <c r="A226" s="94" t="s">
        <v>183</v>
      </c>
      <c r="B226" s="99" t="s">
        <v>127</v>
      </c>
      <c r="C226" s="307" t="s">
        <v>224</v>
      </c>
      <c r="D226" s="318" t="s">
        <v>163</v>
      </c>
      <c r="E226" s="264" t="s">
        <v>232</v>
      </c>
      <c r="F226" s="294"/>
      <c r="G226" s="264" t="s">
        <v>232</v>
      </c>
      <c r="H226" s="33">
        <f t="shared" si="110"/>
        <v>1600000</v>
      </c>
      <c r="I226" s="33">
        <f>SUM(I227)</f>
        <v>0</v>
      </c>
      <c r="J226" s="33">
        <f>SUM(J227)</f>
        <v>0</v>
      </c>
      <c r="K226" s="33">
        <f>SUM(K227)</f>
        <v>1600000</v>
      </c>
      <c r="L226" s="54"/>
      <c r="N226" s="51"/>
    </row>
    <row r="227" spans="1:18" ht="26.25" thickBot="1" x14ac:dyDescent="0.25">
      <c r="A227" s="90" t="s">
        <v>96</v>
      </c>
      <c r="B227" s="96" t="s">
        <v>294</v>
      </c>
      <c r="C227" s="327"/>
      <c r="D227" s="320"/>
      <c r="E227" s="328"/>
      <c r="F227" s="312"/>
      <c r="G227" s="328"/>
      <c r="H227" s="26">
        <f t="shared" si="110"/>
        <v>1600000</v>
      </c>
      <c r="I227" s="26"/>
      <c r="J227" s="26"/>
      <c r="K227" s="26">
        <v>1600000</v>
      </c>
      <c r="L227" s="54"/>
      <c r="N227" s="51"/>
    </row>
    <row r="228" spans="1:18" ht="43.5" customHeight="1" x14ac:dyDescent="0.2">
      <c r="A228" s="94" t="s">
        <v>184</v>
      </c>
      <c r="B228" s="99" t="s">
        <v>127</v>
      </c>
      <c r="C228" s="307" t="s">
        <v>227</v>
      </c>
      <c r="D228" s="318" t="s">
        <v>163</v>
      </c>
      <c r="E228" s="264" t="s">
        <v>93</v>
      </c>
      <c r="F228" s="294"/>
      <c r="G228" s="264" t="s">
        <v>93</v>
      </c>
      <c r="H228" s="33">
        <f t="shared" ref="H228:H229" si="111">I228+J228+K228</f>
        <v>1500000</v>
      </c>
      <c r="I228" s="33">
        <f>SUM(I229)</f>
        <v>0</v>
      </c>
      <c r="J228" s="33">
        <f>SUM(J229)</f>
        <v>0</v>
      </c>
      <c r="K228" s="33">
        <f>SUM(K229)</f>
        <v>1500000</v>
      </c>
      <c r="L228" s="54"/>
      <c r="N228" s="51"/>
    </row>
    <row r="229" spans="1:18" ht="26.25" thickBot="1" x14ac:dyDescent="0.25">
      <c r="A229" s="90" t="s">
        <v>96</v>
      </c>
      <c r="B229" s="96" t="s">
        <v>294</v>
      </c>
      <c r="C229" s="325"/>
      <c r="D229" s="326"/>
      <c r="E229" s="310"/>
      <c r="F229" s="311"/>
      <c r="G229" s="310"/>
      <c r="H229" s="26">
        <f t="shared" si="111"/>
        <v>1500000</v>
      </c>
      <c r="I229" s="26"/>
      <c r="J229" s="26"/>
      <c r="K229" s="26">
        <v>1500000</v>
      </c>
      <c r="L229" s="54"/>
      <c r="N229" s="51"/>
    </row>
    <row r="230" spans="1:18" ht="38.25" x14ac:dyDescent="0.2">
      <c r="A230" s="94" t="s">
        <v>208</v>
      </c>
      <c r="B230" s="99" t="s">
        <v>127</v>
      </c>
      <c r="C230" s="307" t="s">
        <v>218</v>
      </c>
      <c r="D230" s="318" t="s">
        <v>163</v>
      </c>
      <c r="E230" s="264" t="s">
        <v>233</v>
      </c>
      <c r="F230" s="292"/>
      <c r="G230" s="264" t="s">
        <v>233</v>
      </c>
      <c r="H230" s="33">
        <f t="shared" ref="H230:H231" si="112">I230+J230+K230</f>
        <v>2000000</v>
      </c>
      <c r="I230" s="33">
        <f>SUM(I231)</f>
        <v>0</v>
      </c>
      <c r="J230" s="33">
        <f>SUM(J231)</f>
        <v>0</v>
      </c>
      <c r="K230" s="33">
        <f>SUM(K231)</f>
        <v>2000000</v>
      </c>
      <c r="L230" s="54"/>
      <c r="N230" s="51"/>
    </row>
    <row r="231" spans="1:18" ht="26.25" thickBot="1" x14ac:dyDescent="0.25">
      <c r="A231" s="90" t="s">
        <v>96</v>
      </c>
      <c r="B231" s="96" t="s">
        <v>294</v>
      </c>
      <c r="C231" s="219"/>
      <c r="D231" s="246"/>
      <c r="E231" s="226"/>
      <c r="F231" s="220"/>
      <c r="G231" s="237"/>
      <c r="H231" s="13">
        <f t="shared" si="112"/>
        <v>2000000</v>
      </c>
      <c r="I231" s="13"/>
      <c r="J231" s="13"/>
      <c r="K231" s="13">
        <v>2000000</v>
      </c>
      <c r="L231" s="54"/>
      <c r="N231" s="51"/>
    </row>
    <row r="232" spans="1:18" ht="89.25" x14ac:dyDescent="0.2">
      <c r="A232" s="94" t="s">
        <v>207</v>
      </c>
      <c r="B232" s="99" t="s">
        <v>127</v>
      </c>
      <c r="C232" s="307" t="s">
        <v>246</v>
      </c>
      <c r="D232" s="32" t="s">
        <v>163</v>
      </c>
      <c r="E232" s="264" t="s">
        <v>234</v>
      </c>
      <c r="F232" s="292"/>
      <c r="G232" s="264" t="s">
        <v>234</v>
      </c>
      <c r="H232" s="33">
        <f t="shared" ref="H232:H235" si="113">I232+J232+K232</f>
        <v>1148425.32</v>
      </c>
      <c r="I232" s="33">
        <f>SUM(I233)</f>
        <v>0</v>
      </c>
      <c r="J232" s="33">
        <f>SUM(J233)</f>
        <v>0</v>
      </c>
      <c r="K232" s="33">
        <f>SUM(K233)</f>
        <v>1148425.32</v>
      </c>
      <c r="L232" s="54"/>
      <c r="N232" s="51"/>
    </row>
    <row r="233" spans="1:18" ht="26.25" thickBot="1" x14ac:dyDescent="0.25">
      <c r="A233" s="90" t="s">
        <v>96</v>
      </c>
      <c r="B233" s="96" t="s">
        <v>294</v>
      </c>
      <c r="C233" s="219"/>
      <c r="D233" s="246"/>
      <c r="E233" s="275"/>
      <c r="F233" s="263"/>
      <c r="G233" s="275"/>
      <c r="H233" s="26">
        <f t="shared" si="113"/>
        <v>1148425.32</v>
      </c>
      <c r="I233" s="26"/>
      <c r="J233" s="26"/>
      <c r="K233" s="315">
        <v>1148425.32</v>
      </c>
      <c r="L233" s="54"/>
      <c r="N233" s="51"/>
    </row>
    <row r="234" spans="1:18" ht="42.75" customHeight="1" x14ac:dyDescent="0.2">
      <c r="A234" s="94" t="s">
        <v>185</v>
      </c>
      <c r="B234" s="99" t="s">
        <v>127</v>
      </c>
      <c r="C234" s="307" t="s">
        <v>235</v>
      </c>
      <c r="D234" s="32" t="s">
        <v>163</v>
      </c>
      <c r="E234" s="264" t="s">
        <v>236</v>
      </c>
      <c r="F234" s="292"/>
      <c r="G234" s="264" t="s">
        <v>236</v>
      </c>
      <c r="H234" s="33">
        <f t="shared" si="113"/>
        <v>1000000</v>
      </c>
      <c r="I234" s="33">
        <f>SUM(I235)</f>
        <v>0</v>
      </c>
      <c r="J234" s="33">
        <f>SUM(J235)</f>
        <v>0</v>
      </c>
      <c r="K234" s="33">
        <f>SUM(K235)</f>
        <v>1000000</v>
      </c>
      <c r="L234" s="54"/>
      <c r="N234" s="51"/>
    </row>
    <row r="235" spans="1:18" ht="26.25" thickBot="1" x14ac:dyDescent="0.25">
      <c r="A235" s="90" t="s">
        <v>96</v>
      </c>
      <c r="B235" s="96" t="s">
        <v>294</v>
      </c>
      <c r="C235" s="325"/>
      <c r="D235" s="246"/>
      <c r="E235" s="275"/>
      <c r="F235" s="263"/>
      <c r="G235" s="275"/>
      <c r="H235" s="26">
        <f t="shared" si="113"/>
        <v>1000000</v>
      </c>
      <c r="I235" s="26"/>
      <c r="J235" s="26"/>
      <c r="K235" s="26">
        <v>1000000</v>
      </c>
      <c r="L235" s="54"/>
      <c r="N235" s="51"/>
    </row>
    <row r="236" spans="1:18" ht="59.25" customHeight="1" x14ac:dyDescent="0.2">
      <c r="A236" s="136" t="s">
        <v>292</v>
      </c>
      <c r="B236" s="99" t="s">
        <v>127</v>
      </c>
      <c r="C236" s="307" t="s">
        <v>237</v>
      </c>
      <c r="D236" s="32" t="s">
        <v>163</v>
      </c>
      <c r="E236" s="264" t="s">
        <v>233</v>
      </c>
      <c r="F236" s="292"/>
      <c r="G236" s="264" t="s">
        <v>233</v>
      </c>
      <c r="H236" s="33">
        <f>I236+J236+K236</f>
        <v>1000000</v>
      </c>
      <c r="I236" s="33">
        <f>SUM(I237)</f>
        <v>0</v>
      </c>
      <c r="J236" s="33">
        <f>SUM(J237)</f>
        <v>0</v>
      </c>
      <c r="K236" s="33">
        <f>SUM(K237)</f>
        <v>1000000</v>
      </c>
      <c r="L236" s="54"/>
      <c r="N236" s="51"/>
    </row>
    <row r="237" spans="1:18" ht="26.25" thickBot="1" x14ac:dyDescent="0.25">
      <c r="A237" s="90" t="s">
        <v>96</v>
      </c>
      <c r="B237" s="96" t="s">
        <v>294</v>
      </c>
      <c r="C237" s="219"/>
      <c r="D237" s="246"/>
      <c r="E237" s="275"/>
      <c r="F237" s="263"/>
      <c r="G237" s="275"/>
      <c r="H237" s="13">
        <f>I237+J237+K237</f>
        <v>1000000</v>
      </c>
      <c r="I237" s="13"/>
      <c r="J237" s="13"/>
      <c r="K237" s="13">
        <v>1000000</v>
      </c>
      <c r="L237" s="54"/>
      <c r="N237" s="51"/>
    </row>
    <row r="238" spans="1:18" ht="68.25" thickBot="1" x14ac:dyDescent="0.25">
      <c r="A238" s="55" t="s">
        <v>79</v>
      </c>
      <c r="B238" s="48"/>
      <c r="C238" s="112"/>
      <c r="D238" s="112"/>
      <c r="E238" s="305"/>
      <c r="F238" s="305"/>
      <c r="G238" s="305"/>
      <c r="H238" s="56">
        <f t="shared" ref="H238:H257" si="114">I238+J238+K238</f>
        <v>32414428.359999999</v>
      </c>
      <c r="I238" s="56">
        <f>I239+I244+I249+I254+I258+I262</f>
        <v>414428.36</v>
      </c>
      <c r="J238" s="56">
        <f t="shared" ref="J238:K238" si="115">J239+J244+J249+J254+J258+J262</f>
        <v>32000000</v>
      </c>
      <c r="K238" s="56">
        <f t="shared" si="115"/>
        <v>0</v>
      </c>
      <c r="L238" s="53"/>
      <c r="N238" s="51"/>
    </row>
    <row r="239" spans="1:18" ht="76.5" x14ac:dyDescent="0.2">
      <c r="A239" s="251" t="s">
        <v>201</v>
      </c>
      <c r="B239" s="99" t="s">
        <v>119</v>
      </c>
      <c r="C239" s="32" t="s">
        <v>145</v>
      </c>
      <c r="D239" s="318" t="s">
        <v>128</v>
      </c>
      <c r="E239" s="264">
        <v>8035070</v>
      </c>
      <c r="F239" s="292">
        <v>4462875.72</v>
      </c>
      <c r="G239" s="264">
        <f>E239-F239</f>
        <v>3572194.2800000003</v>
      </c>
      <c r="H239" s="14">
        <f>I239+J239+K239</f>
        <v>35891.74</v>
      </c>
      <c r="I239" s="14">
        <f>SUM(I240)</f>
        <v>35891.74</v>
      </c>
      <c r="J239" s="14">
        <f t="shared" ref="J239:K239" si="116">SUM(J240)</f>
        <v>0</v>
      </c>
      <c r="K239" s="14">
        <f t="shared" si="116"/>
        <v>0</v>
      </c>
      <c r="L239" s="53"/>
      <c r="N239" s="51"/>
    </row>
    <row r="240" spans="1:18" ht="25.5" x14ac:dyDescent="0.2">
      <c r="A240" s="197" t="s">
        <v>401</v>
      </c>
      <c r="B240" s="206" t="s">
        <v>402</v>
      </c>
      <c r="C240" s="76"/>
      <c r="D240" s="322"/>
      <c r="E240" s="205"/>
      <c r="F240" s="293"/>
      <c r="G240" s="205"/>
      <c r="H240" s="14">
        <f>I240+J240+K240</f>
        <v>35891.74</v>
      </c>
      <c r="I240" s="14">
        <v>35891.74</v>
      </c>
      <c r="J240" s="14"/>
      <c r="K240" s="14"/>
      <c r="L240" s="51"/>
      <c r="N240" s="51"/>
    </row>
    <row r="241" spans="1:14" ht="38.25" x14ac:dyDescent="0.2">
      <c r="A241" s="9" t="s">
        <v>147</v>
      </c>
      <c r="B241" s="284"/>
      <c r="C241" s="119"/>
      <c r="D241" s="119"/>
      <c r="E241" s="261"/>
      <c r="F241" s="261"/>
      <c r="G241" s="261"/>
      <c r="H241" s="110">
        <f>I241+J241+K241</f>
        <v>76.040000000000006</v>
      </c>
      <c r="I241" s="110">
        <v>76.040000000000006</v>
      </c>
      <c r="J241" s="282"/>
      <c r="K241" s="282"/>
      <c r="L241" s="53"/>
      <c r="N241" s="51"/>
    </row>
    <row r="242" spans="1:14" ht="38.25" x14ac:dyDescent="0.2">
      <c r="A242" s="9" t="s">
        <v>202</v>
      </c>
      <c r="B242" s="284"/>
      <c r="C242" s="119"/>
      <c r="D242" s="119"/>
      <c r="E242" s="261"/>
      <c r="F242" s="261"/>
      <c r="G242" s="261"/>
      <c r="H242" s="110">
        <f t="shared" ref="H242:H243" si="117">I242+J242+K242</f>
        <v>75.5</v>
      </c>
      <c r="I242" s="110">
        <v>75.5</v>
      </c>
      <c r="J242" s="146"/>
      <c r="K242" s="146"/>
      <c r="L242" s="53"/>
      <c r="N242" s="51"/>
    </row>
    <row r="243" spans="1:14" ht="39" thickBot="1" x14ac:dyDescent="0.25">
      <c r="A243" s="16" t="s">
        <v>203</v>
      </c>
      <c r="B243" s="285"/>
      <c r="C243" s="118"/>
      <c r="D243" s="118"/>
      <c r="E243" s="263"/>
      <c r="F243" s="263"/>
      <c r="G243" s="263"/>
      <c r="H243" s="92">
        <f t="shared" si="117"/>
        <v>7453.03</v>
      </c>
      <c r="I243" s="92">
        <v>7453.03</v>
      </c>
      <c r="J243" s="283"/>
      <c r="K243" s="283"/>
      <c r="L243" s="53"/>
      <c r="N243" s="51"/>
    </row>
    <row r="244" spans="1:14" ht="66.75" customHeight="1" x14ac:dyDescent="0.2">
      <c r="A244" s="136" t="s">
        <v>204</v>
      </c>
      <c r="B244" s="99" t="s">
        <v>119</v>
      </c>
      <c r="C244" s="32" t="s">
        <v>205</v>
      </c>
      <c r="D244" s="32" t="s">
        <v>128</v>
      </c>
      <c r="E244" s="264">
        <v>8710150</v>
      </c>
      <c r="F244" s="292">
        <v>4750290.03</v>
      </c>
      <c r="G244" s="264">
        <f>E244-F244</f>
        <v>3959859.9699999997</v>
      </c>
      <c r="H244" s="33">
        <f>I244+J244+K244</f>
        <v>45907.93</v>
      </c>
      <c r="I244" s="33">
        <f>SUM(I245)</f>
        <v>45907.93</v>
      </c>
      <c r="J244" s="33">
        <f t="shared" ref="J244:K244" si="118">SUM(J245)</f>
        <v>0</v>
      </c>
      <c r="K244" s="33">
        <f t="shared" si="118"/>
        <v>0</v>
      </c>
      <c r="L244" s="53"/>
      <c r="N244" s="51"/>
    </row>
    <row r="245" spans="1:14" ht="25.5" x14ac:dyDescent="0.2">
      <c r="A245" s="197" t="s">
        <v>100</v>
      </c>
      <c r="B245" s="206" t="s">
        <v>389</v>
      </c>
      <c r="C245" s="76"/>
      <c r="D245" s="76"/>
      <c r="E245" s="205"/>
      <c r="F245" s="293"/>
      <c r="G245" s="205"/>
      <c r="H245" s="14">
        <f>I245+J245+K245</f>
        <v>45907.93</v>
      </c>
      <c r="I245" s="14">
        <v>45907.93</v>
      </c>
      <c r="J245" s="14"/>
      <c r="K245" s="14"/>
      <c r="L245" s="51"/>
      <c r="N245" s="51"/>
    </row>
    <row r="246" spans="1:14" ht="38.25" x14ac:dyDescent="0.2">
      <c r="A246" s="9" t="s">
        <v>147</v>
      </c>
      <c r="B246" s="284"/>
      <c r="C246" s="119"/>
      <c r="D246" s="119"/>
      <c r="E246" s="261"/>
      <c r="F246" s="261"/>
      <c r="G246" s="261"/>
      <c r="H246" s="110">
        <f>I246+J246+K246</f>
        <v>19674.810000000001</v>
      </c>
      <c r="I246" s="110">
        <v>19674.810000000001</v>
      </c>
      <c r="J246" s="282"/>
      <c r="K246" s="282"/>
      <c r="L246" s="53"/>
      <c r="N246" s="51"/>
    </row>
    <row r="247" spans="1:14" ht="38.25" x14ac:dyDescent="0.2">
      <c r="A247" s="9" t="s">
        <v>202</v>
      </c>
      <c r="B247" s="284"/>
      <c r="C247" s="119"/>
      <c r="D247" s="119"/>
      <c r="E247" s="261"/>
      <c r="F247" s="261"/>
      <c r="G247" s="261"/>
      <c r="H247" s="110">
        <f t="shared" ref="H247:H248" si="119">I247+J247+K247</f>
        <v>19555.48</v>
      </c>
      <c r="I247" s="110">
        <v>19555.48</v>
      </c>
      <c r="J247" s="282"/>
      <c r="K247" s="282"/>
      <c r="L247" s="53"/>
      <c r="N247" s="51"/>
    </row>
    <row r="248" spans="1:14" ht="39" thickBot="1" x14ac:dyDescent="0.25">
      <c r="A248" s="16" t="s">
        <v>203</v>
      </c>
      <c r="B248" s="285"/>
      <c r="C248" s="118"/>
      <c r="D248" s="118"/>
      <c r="E248" s="263"/>
      <c r="F248" s="263"/>
      <c r="G248" s="263"/>
      <c r="H248" s="92">
        <f t="shared" si="119"/>
        <v>1928251.63</v>
      </c>
      <c r="I248" s="92">
        <v>1928251.63</v>
      </c>
      <c r="J248" s="283"/>
      <c r="K248" s="283"/>
      <c r="L248" s="53"/>
      <c r="N248" s="51"/>
    </row>
    <row r="249" spans="1:14" ht="51" x14ac:dyDescent="0.2">
      <c r="A249" s="136" t="s">
        <v>206</v>
      </c>
      <c r="B249" s="99" t="s">
        <v>119</v>
      </c>
      <c r="C249" s="32" t="s">
        <v>205</v>
      </c>
      <c r="D249" s="32" t="s">
        <v>128</v>
      </c>
      <c r="E249" s="264">
        <v>9995010</v>
      </c>
      <c r="F249" s="292">
        <v>7121945.29</v>
      </c>
      <c r="G249" s="264">
        <f>E249-F249</f>
        <v>2873064.71</v>
      </c>
      <c r="H249" s="14">
        <f>I249+J249+K249</f>
        <v>32628.69</v>
      </c>
      <c r="I249" s="14">
        <f>SUM(I250)</f>
        <v>32628.69</v>
      </c>
      <c r="J249" s="14">
        <v>0</v>
      </c>
      <c r="K249" s="14">
        <v>0</v>
      </c>
      <c r="L249" s="53"/>
      <c r="N249" s="51"/>
    </row>
    <row r="250" spans="1:14" ht="25.5" x14ac:dyDescent="0.2">
      <c r="A250" s="197" t="s">
        <v>100</v>
      </c>
      <c r="B250" s="206" t="s">
        <v>390</v>
      </c>
      <c r="C250" s="76"/>
      <c r="D250" s="76"/>
      <c r="E250" s="205"/>
      <c r="F250" s="293"/>
      <c r="G250" s="205"/>
      <c r="H250" s="14">
        <f>I250+J250+K250</f>
        <v>32628.69</v>
      </c>
      <c r="I250" s="14">
        <v>32628.69</v>
      </c>
      <c r="J250" s="14"/>
      <c r="K250" s="14"/>
      <c r="L250" s="51"/>
      <c r="N250" s="51"/>
    </row>
    <row r="251" spans="1:14" ht="38.25" x14ac:dyDescent="0.2">
      <c r="A251" s="9" t="s">
        <v>147</v>
      </c>
      <c r="B251" s="284"/>
      <c r="C251" s="119"/>
      <c r="D251" s="119"/>
      <c r="E251" s="261"/>
      <c r="F251" s="261"/>
      <c r="G251" s="261"/>
      <c r="H251" s="110">
        <f>I251+J251+K251</f>
        <v>13983.72</v>
      </c>
      <c r="I251" s="110">
        <v>13983.72</v>
      </c>
      <c r="J251" s="282"/>
      <c r="K251" s="282"/>
      <c r="L251" s="53"/>
      <c r="N251" s="51"/>
    </row>
    <row r="252" spans="1:14" ht="38.25" x14ac:dyDescent="0.2">
      <c r="A252" s="9" t="s">
        <v>202</v>
      </c>
      <c r="B252" s="284"/>
      <c r="C252" s="119"/>
      <c r="D252" s="119"/>
      <c r="E252" s="261"/>
      <c r="F252" s="261"/>
      <c r="G252" s="261"/>
      <c r="H252" s="110">
        <f t="shared" ref="H252:H253" si="120">I252+J252+K252</f>
        <v>13905.51</v>
      </c>
      <c r="I252" s="110">
        <v>13905.51</v>
      </c>
      <c r="J252" s="282"/>
      <c r="K252" s="282"/>
      <c r="L252" s="53"/>
      <c r="N252" s="51"/>
    </row>
    <row r="253" spans="1:14" ht="39" thickBot="1" x14ac:dyDescent="0.25">
      <c r="A253" s="16" t="s">
        <v>203</v>
      </c>
      <c r="B253" s="285"/>
      <c r="C253" s="118"/>
      <c r="D253" s="118"/>
      <c r="E253" s="263"/>
      <c r="F253" s="263"/>
      <c r="G253" s="263"/>
      <c r="H253" s="92">
        <f t="shared" si="120"/>
        <v>1370482.9</v>
      </c>
      <c r="I253" s="92">
        <v>1370482.9</v>
      </c>
      <c r="J253" s="283"/>
      <c r="K253" s="283"/>
      <c r="L253" s="53"/>
      <c r="N253" s="51"/>
    </row>
    <row r="254" spans="1:14" ht="83.25" customHeight="1" x14ac:dyDescent="0.2">
      <c r="A254" s="136" t="s">
        <v>293</v>
      </c>
      <c r="B254" s="99" t="s">
        <v>119</v>
      </c>
      <c r="C254" s="32" t="s">
        <v>145</v>
      </c>
      <c r="D254" s="89" t="s">
        <v>179</v>
      </c>
      <c r="E254" s="264">
        <f>F254+G254</f>
        <v>10255600</v>
      </c>
      <c r="F254" s="292">
        <v>255600</v>
      </c>
      <c r="G254" s="264">
        <v>10000000</v>
      </c>
      <c r="H254" s="33">
        <f t="shared" si="114"/>
        <v>10100000</v>
      </c>
      <c r="I254" s="33">
        <f>SUM(I255:I257)</f>
        <v>100000</v>
      </c>
      <c r="J254" s="33">
        <f t="shared" ref="J254:K254" si="121">SUM(J255:J257)</f>
        <v>10000000</v>
      </c>
      <c r="K254" s="33">
        <f t="shared" si="121"/>
        <v>0</v>
      </c>
      <c r="N254" s="52"/>
    </row>
    <row r="255" spans="1:14" ht="25.5" x14ac:dyDescent="0.2">
      <c r="A255" s="197" t="s">
        <v>373</v>
      </c>
      <c r="B255" s="206" t="s">
        <v>364</v>
      </c>
      <c r="C255" s="76"/>
      <c r="D255" s="159"/>
      <c r="E255" s="205"/>
      <c r="F255" s="293"/>
      <c r="G255" s="205"/>
      <c r="H255" s="8">
        <f t="shared" si="114"/>
        <v>100000</v>
      </c>
      <c r="I255" s="14">
        <v>100000</v>
      </c>
      <c r="J255" s="14"/>
      <c r="K255" s="14"/>
      <c r="L255" s="51"/>
      <c r="N255" s="52"/>
    </row>
    <row r="256" spans="1:14" ht="25.5" x14ac:dyDescent="0.2">
      <c r="A256" s="9" t="s">
        <v>100</v>
      </c>
      <c r="B256" s="5" t="s">
        <v>20</v>
      </c>
      <c r="C256" s="11"/>
      <c r="D256" s="245"/>
      <c r="E256" s="261"/>
      <c r="F256" s="261"/>
      <c r="G256" s="261"/>
      <c r="H256" s="8">
        <f t="shared" si="114"/>
        <v>100000</v>
      </c>
      <c r="I256" s="8"/>
      <c r="J256" s="8">
        <v>100000</v>
      </c>
      <c r="K256" s="8"/>
      <c r="N256" s="52"/>
    </row>
    <row r="257" spans="1:14" ht="26.25" thickBot="1" x14ac:dyDescent="0.25">
      <c r="A257" s="197" t="s">
        <v>101</v>
      </c>
      <c r="B257" s="206" t="s">
        <v>19</v>
      </c>
      <c r="C257" s="11"/>
      <c r="D257" s="245"/>
      <c r="E257" s="261"/>
      <c r="F257" s="261"/>
      <c r="G257" s="261"/>
      <c r="H257" s="8">
        <f t="shared" si="114"/>
        <v>9900000</v>
      </c>
      <c r="I257" s="8"/>
      <c r="J257" s="8">
        <f>99000+9801000</f>
        <v>9900000</v>
      </c>
      <c r="K257" s="8"/>
      <c r="N257" s="52"/>
    </row>
    <row r="258" spans="1:14" ht="77.25" customHeight="1" x14ac:dyDescent="0.2">
      <c r="A258" s="136" t="s">
        <v>448</v>
      </c>
      <c r="B258" s="99" t="s">
        <v>119</v>
      </c>
      <c r="C258" s="32" t="s">
        <v>145</v>
      </c>
      <c r="D258" s="89" t="s">
        <v>179</v>
      </c>
      <c r="E258" s="264">
        <f>F258+G258</f>
        <v>10295600</v>
      </c>
      <c r="F258" s="292">
        <v>295600</v>
      </c>
      <c r="G258" s="264">
        <v>10000000</v>
      </c>
      <c r="H258" s="33">
        <f t="shared" ref="H258:H261" si="122">I258+J258+K258</f>
        <v>10100000</v>
      </c>
      <c r="I258" s="33">
        <f>SUM(I259:I261)</f>
        <v>100000</v>
      </c>
      <c r="J258" s="33">
        <f>SUM(J260:J261)</f>
        <v>10000000</v>
      </c>
      <c r="K258" s="33">
        <f>SUM(K260:K261)</f>
        <v>0</v>
      </c>
      <c r="N258" s="52"/>
    </row>
    <row r="259" spans="1:14" ht="25.5" x14ac:dyDescent="0.2">
      <c r="A259" s="197" t="s">
        <v>373</v>
      </c>
      <c r="B259" s="206" t="s">
        <v>365</v>
      </c>
      <c r="C259" s="76"/>
      <c r="D259" s="159"/>
      <c r="E259" s="205"/>
      <c r="F259" s="293"/>
      <c r="G259" s="205"/>
      <c r="H259" s="8">
        <f t="shared" si="122"/>
        <v>100000</v>
      </c>
      <c r="I259" s="14">
        <v>100000</v>
      </c>
      <c r="J259" s="14"/>
      <c r="K259" s="14"/>
      <c r="L259" s="51"/>
      <c r="N259" s="52"/>
    </row>
    <row r="260" spans="1:14" ht="25.5" x14ac:dyDescent="0.2">
      <c r="A260" s="9" t="s">
        <v>100</v>
      </c>
      <c r="B260" s="5" t="s">
        <v>22</v>
      </c>
      <c r="C260" s="11"/>
      <c r="D260" s="245"/>
      <c r="E260" s="261"/>
      <c r="F260" s="261"/>
      <c r="G260" s="261"/>
      <c r="H260" s="8">
        <f t="shared" si="122"/>
        <v>100000</v>
      </c>
      <c r="I260" s="8"/>
      <c r="J260" s="8">
        <v>100000</v>
      </c>
      <c r="K260" s="8"/>
      <c r="N260" s="52"/>
    </row>
    <row r="261" spans="1:14" ht="26.25" thickBot="1" x14ac:dyDescent="0.25">
      <c r="A261" s="199" t="s">
        <v>101</v>
      </c>
      <c r="B261" s="340" t="s">
        <v>21</v>
      </c>
      <c r="C261" s="12"/>
      <c r="D261" s="246"/>
      <c r="E261" s="263"/>
      <c r="F261" s="263"/>
      <c r="G261" s="263"/>
      <c r="H261" s="13">
        <f t="shared" si="122"/>
        <v>9900000</v>
      </c>
      <c r="I261" s="13"/>
      <c r="J261" s="13">
        <f>99000+9801000</f>
        <v>9900000</v>
      </c>
      <c r="K261" s="13"/>
      <c r="N261" s="52"/>
    </row>
    <row r="262" spans="1:14" ht="82.5" customHeight="1" x14ac:dyDescent="0.2">
      <c r="A262" s="94" t="s">
        <v>449</v>
      </c>
      <c r="B262" s="99" t="s">
        <v>119</v>
      </c>
      <c r="C262" s="32" t="s">
        <v>145</v>
      </c>
      <c r="D262" s="89" t="s">
        <v>179</v>
      </c>
      <c r="E262" s="264" t="s">
        <v>291</v>
      </c>
      <c r="F262" s="292">
        <v>250600</v>
      </c>
      <c r="G262" s="264">
        <v>12000000</v>
      </c>
      <c r="H262" s="33">
        <f t="shared" ref="H262:H274" si="123">I262+J262+K262</f>
        <v>12100000</v>
      </c>
      <c r="I262" s="33">
        <f>SUM(I263:I265)</f>
        <v>100000</v>
      </c>
      <c r="J262" s="33">
        <f>SUM(J264:J265)</f>
        <v>12000000</v>
      </c>
      <c r="K262" s="33">
        <f>SUM(K264:K265)</f>
        <v>0</v>
      </c>
      <c r="N262" s="52"/>
    </row>
    <row r="263" spans="1:14" ht="25.5" x14ac:dyDescent="0.2">
      <c r="A263" s="197" t="s">
        <v>373</v>
      </c>
      <c r="B263" s="206" t="s">
        <v>374</v>
      </c>
      <c r="C263" s="76"/>
      <c r="D263" s="159"/>
      <c r="E263" s="205"/>
      <c r="F263" s="293"/>
      <c r="G263" s="205"/>
      <c r="H263" s="8">
        <f t="shared" si="123"/>
        <v>100000</v>
      </c>
      <c r="I263" s="14">
        <v>100000</v>
      </c>
      <c r="J263" s="14"/>
      <c r="K263" s="14"/>
      <c r="L263" s="51"/>
      <c r="N263" s="52"/>
    </row>
    <row r="264" spans="1:14" ht="25.5" x14ac:dyDescent="0.2">
      <c r="A264" s="9" t="s">
        <v>100</v>
      </c>
      <c r="B264" s="5" t="s">
        <v>17</v>
      </c>
      <c r="C264" s="11"/>
      <c r="D264" s="245"/>
      <c r="E264" s="261"/>
      <c r="F264" s="261"/>
      <c r="G264" s="261"/>
      <c r="H264" s="8">
        <f t="shared" si="123"/>
        <v>120000</v>
      </c>
      <c r="I264" s="8"/>
      <c r="J264" s="8">
        <v>120000</v>
      </c>
      <c r="K264" s="8"/>
      <c r="N264" s="52"/>
    </row>
    <row r="265" spans="1:14" ht="26.25" thickBot="1" x14ac:dyDescent="0.25">
      <c r="A265" s="197" t="s">
        <v>101</v>
      </c>
      <c r="B265" s="206" t="s">
        <v>18</v>
      </c>
      <c r="C265" s="11"/>
      <c r="D265" s="245"/>
      <c r="E265" s="261"/>
      <c r="F265" s="261"/>
      <c r="G265" s="261"/>
      <c r="H265" s="8">
        <f t="shared" si="123"/>
        <v>11880000</v>
      </c>
      <c r="I265" s="8"/>
      <c r="J265" s="8">
        <f>118800+11761200</f>
        <v>11880000</v>
      </c>
      <c r="K265" s="8"/>
      <c r="N265" s="52"/>
    </row>
    <row r="266" spans="1:14" ht="44.25" customHeight="1" thickBot="1" x14ac:dyDescent="0.25">
      <c r="A266" s="10" t="s">
        <v>121</v>
      </c>
      <c r="B266" s="82"/>
      <c r="C266" s="43"/>
      <c r="D266" s="43"/>
      <c r="E266" s="305"/>
      <c r="F266" s="305"/>
      <c r="G266" s="305"/>
      <c r="H266" s="67">
        <f t="shared" si="123"/>
        <v>4189952222.1399999</v>
      </c>
      <c r="I266" s="67">
        <f>I267</f>
        <v>1178269545.5599999</v>
      </c>
      <c r="J266" s="67">
        <f>J267</f>
        <v>2133449848.29</v>
      </c>
      <c r="K266" s="67">
        <f>K267</f>
        <v>878232828.28999996</v>
      </c>
      <c r="L266" s="53"/>
    </row>
    <row r="267" spans="1:14" ht="54" customHeight="1" thickBot="1" x14ac:dyDescent="0.25">
      <c r="A267" s="102" t="s">
        <v>150</v>
      </c>
      <c r="B267" s="82"/>
      <c r="C267" s="43"/>
      <c r="D267" s="43"/>
      <c r="E267" s="305"/>
      <c r="F267" s="305"/>
      <c r="G267" s="305"/>
      <c r="H267" s="56">
        <f>I267+J267+K267</f>
        <v>4189952222.1399999</v>
      </c>
      <c r="I267" s="67">
        <f>I274+I268</f>
        <v>1178269545.5599999</v>
      </c>
      <c r="J267" s="67">
        <f>J274+J268</f>
        <v>2133449848.29</v>
      </c>
      <c r="K267" s="67">
        <f>K274+K268</f>
        <v>878232828.28999996</v>
      </c>
      <c r="L267" s="53"/>
    </row>
    <row r="268" spans="1:14" ht="50.25" customHeight="1" thickBot="1" x14ac:dyDescent="0.25">
      <c r="A268" s="10" t="s">
        <v>7</v>
      </c>
      <c r="B268" s="82"/>
      <c r="C268" s="43"/>
      <c r="D268" s="43"/>
      <c r="E268" s="305"/>
      <c r="F268" s="305"/>
      <c r="G268" s="305"/>
      <c r="H268" s="67">
        <f>I268+J268+K268</f>
        <v>343434343.43000001</v>
      </c>
      <c r="I268" s="67">
        <f>I269</f>
        <v>343434343.43000001</v>
      </c>
      <c r="J268" s="67">
        <f>J269</f>
        <v>0</v>
      </c>
      <c r="K268" s="67">
        <f>K269</f>
        <v>0</v>
      </c>
      <c r="L268" s="53"/>
    </row>
    <row r="269" spans="1:14" ht="42" customHeight="1" x14ac:dyDescent="0.2">
      <c r="A269" s="94" t="s">
        <v>80</v>
      </c>
      <c r="B269" s="34" t="s">
        <v>119</v>
      </c>
      <c r="C269" s="32" t="s">
        <v>12</v>
      </c>
      <c r="D269" s="32" t="s">
        <v>128</v>
      </c>
      <c r="E269" s="264">
        <v>424959140</v>
      </c>
      <c r="F269" s="292">
        <v>81331395.569999993</v>
      </c>
      <c r="G269" s="264">
        <f>E269-F269</f>
        <v>343627744.43000001</v>
      </c>
      <c r="H269" s="33">
        <f t="shared" si="123"/>
        <v>343434343.43000001</v>
      </c>
      <c r="I269" s="33">
        <f>SUM(I270:I271)</f>
        <v>343434343.43000001</v>
      </c>
      <c r="J269" s="33">
        <f>SUM(J270:J271)</f>
        <v>0</v>
      </c>
      <c r="K269" s="33">
        <f>SUM(K270:K271)</f>
        <v>0</v>
      </c>
      <c r="L269" s="53"/>
    </row>
    <row r="270" spans="1:14" ht="25.5" x14ac:dyDescent="0.2">
      <c r="A270" s="100" t="s">
        <v>87</v>
      </c>
      <c r="B270" s="5" t="s">
        <v>42</v>
      </c>
      <c r="C270" s="11"/>
      <c r="D270" s="11"/>
      <c r="E270" s="261"/>
      <c r="F270" s="261"/>
      <c r="G270" s="261"/>
      <c r="H270" s="8">
        <f t="shared" si="123"/>
        <v>3434343.43</v>
      </c>
      <c r="I270" s="8">
        <v>3434343.43</v>
      </c>
      <c r="J270" s="8"/>
      <c r="K270" s="8"/>
      <c r="L270" s="52"/>
      <c r="M270" s="52"/>
      <c r="N270" s="52"/>
    </row>
    <row r="271" spans="1:14" ht="25.5" x14ac:dyDescent="0.2">
      <c r="A271" s="100" t="s">
        <v>88</v>
      </c>
      <c r="B271" s="122" t="s">
        <v>43</v>
      </c>
      <c r="C271" s="138"/>
      <c r="D271" s="138"/>
      <c r="E271" s="262"/>
      <c r="F271" s="262"/>
      <c r="G271" s="262"/>
      <c r="H271" s="25">
        <f t="shared" si="123"/>
        <v>340000000</v>
      </c>
      <c r="I271" s="25">
        <f>250000000+90000000</f>
        <v>340000000</v>
      </c>
      <c r="J271" s="25"/>
      <c r="K271" s="25"/>
      <c r="L271" s="52"/>
      <c r="M271" s="52"/>
      <c r="N271" s="52"/>
    </row>
    <row r="272" spans="1:14" ht="38.25" x14ac:dyDescent="0.2">
      <c r="A272" s="9" t="s">
        <v>199</v>
      </c>
      <c r="B272" s="5"/>
      <c r="C272" s="11"/>
      <c r="D272" s="11"/>
      <c r="E272" s="261"/>
      <c r="F272" s="261"/>
      <c r="G272" s="261"/>
      <c r="H272" s="110">
        <f t="shared" si="123"/>
        <v>795021.92</v>
      </c>
      <c r="I272" s="110">
        <v>795021.92</v>
      </c>
      <c r="J272" s="8"/>
      <c r="K272" s="8"/>
      <c r="L272" s="52"/>
      <c r="M272" s="52"/>
      <c r="N272" s="52"/>
    </row>
    <row r="273" spans="1:14" ht="39" thickBot="1" x14ac:dyDescent="0.25">
      <c r="A273" s="16" t="s">
        <v>200</v>
      </c>
      <c r="B273" s="6"/>
      <c r="C273" s="12"/>
      <c r="D273" s="12"/>
      <c r="E273" s="263"/>
      <c r="F273" s="263"/>
      <c r="G273" s="263"/>
      <c r="H273" s="92">
        <f t="shared" si="123"/>
        <v>78707170.209999993</v>
      </c>
      <c r="I273" s="92">
        <v>78707170.209999993</v>
      </c>
      <c r="J273" s="13"/>
      <c r="K273" s="13"/>
      <c r="L273" s="52"/>
      <c r="M273" s="52"/>
      <c r="N273" s="52"/>
    </row>
    <row r="274" spans="1:14" ht="23.25" customHeight="1" thickBot="1" x14ac:dyDescent="0.25">
      <c r="A274" s="160" t="s">
        <v>135</v>
      </c>
      <c r="B274" s="85"/>
      <c r="C274" s="86"/>
      <c r="D274" s="86"/>
      <c r="E274" s="313"/>
      <c r="F274" s="313"/>
      <c r="G274" s="313"/>
      <c r="H274" s="68">
        <f t="shared" si="123"/>
        <v>3846517878.71</v>
      </c>
      <c r="I274" s="68">
        <f>I291+I275+I280+I286+I294</f>
        <v>834835202.13</v>
      </c>
      <c r="J274" s="68">
        <f t="shared" ref="J274:K274" si="124">J291+J275+J280+J286+J294</f>
        <v>2133449848.29</v>
      </c>
      <c r="K274" s="68">
        <f t="shared" si="124"/>
        <v>878232828.28999996</v>
      </c>
      <c r="L274" s="3"/>
      <c r="M274" s="52"/>
    </row>
    <row r="275" spans="1:14" ht="42.75" customHeight="1" x14ac:dyDescent="0.2">
      <c r="A275" s="136" t="s">
        <v>148</v>
      </c>
      <c r="B275" s="34" t="s">
        <v>119</v>
      </c>
      <c r="C275" s="32" t="s">
        <v>129</v>
      </c>
      <c r="D275" s="32" t="s">
        <v>102</v>
      </c>
      <c r="E275" s="264">
        <v>1131692490</v>
      </c>
      <c r="F275" s="292">
        <v>1381230</v>
      </c>
      <c r="G275" s="264">
        <f>E275-F275</f>
        <v>1130311260</v>
      </c>
      <c r="H275" s="33">
        <f>I275+J275+K275</f>
        <v>1087284967.9000001</v>
      </c>
      <c r="I275" s="33">
        <f>SUM(I276:I279)</f>
        <v>417050501.23000002</v>
      </c>
      <c r="J275" s="33">
        <f t="shared" ref="J275:K275" si="125">SUM(J276:J279)</f>
        <v>670234466.66999996</v>
      </c>
      <c r="K275" s="33">
        <f t="shared" si="125"/>
        <v>0</v>
      </c>
      <c r="L275" s="52"/>
      <c r="M275" s="52"/>
    </row>
    <row r="276" spans="1:14" ht="43.5" customHeight="1" x14ac:dyDescent="0.2">
      <c r="A276" s="197" t="s">
        <v>186</v>
      </c>
      <c r="B276" s="206" t="s">
        <v>249</v>
      </c>
      <c r="C276" s="11"/>
      <c r="D276" s="11"/>
      <c r="E276" s="309"/>
      <c r="F276" s="261"/>
      <c r="G276" s="309"/>
      <c r="H276" s="8">
        <f>I276+J276+K276</f>
        <v>10850423.439999999</v>
      </c>
      <c r="I276" s="8">
        <v>4148078.77</v>
      </c>
      <c r="J276" s="8">
        <v>6702344.6699999999</v>
      </c>
      <c r="K276" s="8"/>
      <c r="L276" s="52"/>
      <c r="M276" s="52"/>
      <c r="N276" s="52"/>
    </row>
    <row r="277" spans="1:14" ht="25.5" x14ac:dyDescent="0.2">
      <c r="A277" s="197" t="s">
        <v>186</v>
      </c>
      <c r="B277" s="206" t="s">
        <v>411</v>
      </c>
      <c r="C277" s="11"/>
      <c r="D277" s="11"/>
      <c r="E277" s="309"/>
      <c r="F277" s="261"/>
      <c r="G277" s="309"/>
      <c r="H277" s="8">
        <f>I277+J277+K277</f>
        <v>2242624.46</v>
      </c>
      <c r="I277" s="8">
        <v>2242624.46</v>
      </c>
      <c r="J277" s="8"/>
      <c r="K277" s="8"/>
      <c r="L277" s="52"/>
      <c r="M277" s="52"/>
      <c r="N277" s="52"/>
    </row>
    <row r="278" spans="1:14" ht="38.25" x14ac:dyDescent="0.2">
      <c r="A278" s="197" t="s">
        <v>152</v>
      </c>
      <c r="B278" s="206" t="s">
        <v>248</v>
      </c>
      <c r="C278" s="11"/>
      <c r="D278" s="11"/>
      <c r="E278" s="261"/>
      <c r="F278" s="261"/>
      <c r="G278" s="261"/>
      <c r="H278" s="8">
        <f t="shared" ref="H278:H279" si="126">I278+J278+K278</f>
        <v>10741920</v>
      </c>
      <c r="I278" s="8">
        <v>4106598</v>
      </c>
      <c r="J278" s="8">
        <v>6635322</v>
      </c>
      <c r="K278" s="8"/>
      <c r="L278" s="52"/>
      <c r="M278" s="52"/>
      <c r="N278" s="52"/>
    </row>
    <row r="279" spans="1:14" ht="39" thickBot="1" x14ac:dyDescent="0.25">
      <c r="A279" s="199" t="s">
        <v>213</v>
      </c>
      <c r="B279" s="340" t="s">
        <v>247</v>
      </c>
      <c r="C279" s="12"/>
      <c r="D279" s="12"/>
      <c r="E279" s="263"/>
      <c r="F279" s="263"/>
      <c r="G279" s="263"/>
      <c r="H279" s="13">
        <f t="shared" si="126"/>
        <v>1063450000</v>
      </c>
      <c r="I279" s="13">
        <v>406553200</v>
      </c>
      <c r="J279" s="13">
        <v>656896800</v>
      </c>
      <c r="K279" s="13"/>
      <c r="L279" s="52"/>
      <c r="M279" s="54"/>
      <c r="N279" s="52"/>
    </row>
    <row r="280" spans="1:14" ht="33" customHeight="1" x14ac:dyDescent="0.2">
      <c r="A280" s="136" t="s">
        <v>6</v>
      </c>
      <c r="B280" s="34" t="s">
        <v>119</v>
      </c>
      <c r="C280" s="32" t="s">
        <v>129</v>
      </c>
      <c r="D280" s="32" t="s">
        <v>102</v>
      </c>
      <c r="E280" s="292">
        <v>1131692490</v>
      </c>
      <c r="F280" s="292">
        <v>2999864.73</v>
      </c>
      <c r="G280" s="292">
        <f>E280-F280</f>
        <v>1128692625.27</v>
      </c>
      <c r="H280" s="33">
        <f t="shared" ref="H280:H285" si="127">I280+J280+K280</f>
        <v>944596699.13000011</v>
      </c>
      <c r="I280" s="33">
        <f>SUM(I281:I285)</f>
        <v>371618727.93000001</v>
      </c>
      <c r="J280" s="33">
        <f>SUM(J281:J285)</f>
        <v>572977971.20000005</v>
      </c>
      <c r="K280" s="33">
        <f>SUM(K281:K285)</f>
        <v>0</v>
      </c>
      <c r="L280" s="52"/>
      <c r="M280" s="52"/>
    </row>
    <row r="281" spans="1:14" ht="33" customHeight="1" x14ac:dyDescent="0.2">
      <c r="A281" s="9" t="s">
        <v>81</v>
      </c>
      <c r="B281" s="95" t="s">
        <v>294</v>
      </c>
      <c r="C281" s="11"/>
      <c r="D281" s="11"/>
      <c r="E281" s="261"/>
      <c r="F281" s="261"/>
      <c r="G281" s="261"/>
      <c r="H281" s="8">
        <f t="shared" si="127"/>
        <v>800000</v>
      </c>
      <c r="I281" s="8">
        <v>800000</v>
      </c>
      <c r="J281" s="8"/>
      <c r="K281" s="8"/>
      <c r="L281" s="52"/>
    </row>
    <row r="282" spans="1:14" ht="38.25" x14ac:dyDescent="0.2">
      <c r="A282" s="197" t="s">
        <v>143</v>
      </c>
      <c r="B282" s="5" t="s">
        <v>250</v>
      </c>
      <c r="C282" s="11"/>
      <c r="D282" s="11"/>
      <c r="E282" s="261"/>
      <c r="F282" s="261"/>
      <c r="G282" s="261"/>
      <c r="H282" s="8">
        <f t="shared" si="127"/>
        <v>9391885.879999999</v>
      </c>
      <c r="I282" s="8">
        <v>3662106.17</v>
      </c>
      <c r="J282" s="8">
        <v>5729779.71</v>
      </c>
      <c r="K282" s="8"/>
      <c r="L282" s="52"/>
      <c r="M282" s="52"/>
      <c r="N282" s="52"/>
    </row>
    <row r="283" spans="1:14" ht="25.5" x14ac:dyDescent="0.2">
      <c r="A283" s="197" t="s">
        <v>143</v>
      </c>
      <c r="B283" s="206" t="s">
        <v>418</v>
      </c>
      <c r="C283" s="11"/>
      <c r="D283" s="11"/>
      <c r="E283" s="261"/>
      <c r="F283" s="261"/>
      <c r="G283" s="261"/>
      <c r="H283" s="8">
        <f t="shared" si="127"/>
        <v>4608111.12</v>
      </c>
      <c r="I283" s="8">
        <v>4608111.12</v>
      </c>
      <c r="J283" s="8"/>
      <c r="K283" s="8"/>
      <c r="L283" s="52"/>
      <c r="M283" s="52"/>
      <c r="N283" s="52"/>
    </row>
    <row r="284" spans="1:14" ht="38.25" x14ac:dyDescent="0.2">
      <c r="A284" s="197" t="s">
        <v>140</v>
      </c>
      <c r="B284" s="5" t="s">
        <v>251</v>
      </c>
      <c r="C284" s="11"/>
      <c r="D284" s="11"/>
      <c r="E284" s="261"/>
      <c r="F284" s="261"/>
      <c r="G284" s="261"/>
      <c r="H284" s="8">
        <f t="shared" si="127"/>
        <v>55787802.130000003</v>
      </c>
      <c r="I284" s="8">
        <v>21752910.640000001</v>
      </c>
      <c r="J284" s="8">
        <v>34034891.490000002</v>
      </c>
      <c r="K284" s="8"/>
      <c r="L284" s="52"/>
      <c r="M284" s="54"/>
      <c r="N284" s="52"/>
    </row>
    <row r="285" spans="1:14" ht="39" thickBot="1" x14ac:dyDescent="0.25">
      <c r="A285" s="199" t="s">
        <v>141</v>
      </c>
      <c r="B285" s="6" t="s">
        <v>252</v>
      </c>
      <c r="C285" s="12"/>
      <c r="D285" s="12"/>
      <c r="E285" s="263"/>
      <c r="F285" s="263"/>
      <c r="G285" s="263"/>
      <c r="H285" s="13">
        <f t="shared" si="127"/>
        <v>874008900</v>
      </c>
      <c r="I285" s="13">
        <v>340795600</v>
      </c>
      <c r="J285" s="13">
        <v>533213300</v>
      </c>
      <c r="K285" s="13"/>
      <c r="L285" s="52"/>
      <c r="M285" s="200"/>
      <c r="N285" s="200"/>
    </row>
    <row r="286" spans="1:14" ht="51" x14ac:dyDescent="0.2">
      <c r="A286" s="251" t="s">
        <v>161</v>
      </c>
      <c r="B286" s="34" t="s">
        <v>119</v>
      </c>
      <c r="C286" s="32" t="s">
        <v>162</v>
      </c>
      <c r="D286" s="32" t="s">
        <v>163</v>
      </c>
      <c r="E286" s="292">
        <v>1756465656.5599999</v>
      </c>
      <c r="F286" s="292"/>
      <c r="G286" s="292">
        <f>E286-F286</f>
        <v>1756465656.5599999</v>
      </c>
      <c r="H286" s="33">
        <f>I286+J286+K286</f>
        <v>1756465656.5799999</v>
      </c>
      <c r="I286" s="33">
        <f>SUM(I287:I290)</f>
        <v>0</v>
      </c>
      <c r="J286" s="33">
        <f t="shared" ref="J286:K286" si="128">SUM(J287:J290)</f>
        <v>878232828.28999996</v>
      </c>
      <c r="K286" s="33">
        <f t="shared" si="128"/>
        <v>878232828.28999996</v>
      </c>
      <c r="L286" s="52"/>
      <c r="M286" s="200"/>
      <c r="N286" s="200"/>
    </row>
    <row r="287" spans="1:14" ht="25.5" x14ac:dyDescent="0.2">
      <c r="A287" s="197" t="s">
        <v>164</v>
      </c>
      <c r="B287" s="206" t="s">
        <v>165</v>
      </c>
      <c r="C287" s="11"/>
      <c r="D287" s="11"/>
      <c r="E287" s="261"/>
      <c r="F287" s="261"/>
      <c r="G287" s="261"/>
      <c r="H287" s="8">
        <f t="shared" ref="H287:H290" si="129">I287+J287+K287</f>
        <v>3601151.52</v>
      </c>
      <c r="I287" s="8"/>
      <c r="J287" s="8">
        <v>1800575.76</v>
      </c>
      <c r="K287" s="8">
        <v>1800575.76</v>
      </c>
      <c r="L287" s="52"/>
      <c r="M287" s="200"/>
      <c r="N287" s="200"/>
    </row>
    <row r="288" spans="1:14" ht="25.5" x14ac:dyDescent="0.2">
      <c r="A288" s="197" t="s">
        <v>166</v>
      </c>
      <c r="B288" s="206" t="s">
        <v>264</v>
      </c>
      <c r="C288" s="308"/>
      <c r="D288" s="308"/>
      <c r="E288" s="261"/>
      <c r="F288" s="261"/>
      <c r="G288" s="261"/>
      <c r="H288" s="261">
        <f t="shared" si="129"/>
        <v>13963505.059999999</v>
      </c>
      <c r="I288" s="261"/>
      <c r="J288" s="261">
        <f>6981752.52+0.01</f>
        <v>6981752.5299999993</v>
      </c>
      <c r="K288" s="261">
        <f>6981752.52+0.01</f>
        <v>6981752.5299999993</v>
      </c>
      <c r="L288" s="52"/>
      <c r="M288" s="200"/>
      <c r="N288" s="200"/>
    </row>
    <row r="289" spans="1:14" ht="25.5" x14ac:dyDescent="0.2">
      <c r="A289" s="197" t="s">
        <v>167</v>
      </c>
      <c r="B289" s="206" t="s">
        <v>168</v>
      </c>
      <c r="C289" s="11"/>
      <c r="D289" s="11"/>
      <c r="E289" s="261"/>
      <c r="F289" s="261"/>
      <c r="G289" s="261"/>
      <c r="H289" s="8">
        <f t="shared" si="129"/>
        <v>356514000</v>
      </c>
      <c r="I289" s="8"/>
      <c r="J289" s="8">
        <v>178257000</v>
      </c>
      <c r="K289" s="8">
        <v>178257000</v>
      </c>
      <c r="L289" s="52"/>
      <c r="M289" s="200"/>
      <c r="N289" s="200"/>
    </row>
    <row r="290" spans="1:14" ht="26.25" thickBot="1" x14ac:dyDescent="0.25">
      <c r="A290" s="252" t="s">
        <v>169</v>
      </c>
      <c r="B290" s="340" t="s">
        <v>263</v>
      </c>
      <c r="C290" s="12"/>
      <c r="D290" s="12"/>
      <c r="E290" s="263"/>
      <c r="F290" s="263"/>
      <c r="G290" s="263"/>
      <c r="H290" s="13">
        <f t="shared" si="129"/>
        <v>1382387000</v>
      </c>
      <c r="I290" s="13"/>
      <c r="J290" s="13">
        <v>691193500</v>
      </c>
      <c r="K290" s="13">
        <v>691193500</v>
      </c>
      <c r="L290" s="52"/>
      <c r="M290" s="200"/>
      <c r="N290" s="200"/>
    </row>
    <row r="291" spans="1:14" ht="63.75" x14ac:dyDescent="0.2">
      <c r="A291" s="251" t="s">
        <v>187</v>
      </c>
      <c r="B291" s="34" t="s">
        <v>127</v>
      </c>
      <c r="C291" s="32" t="s">
        <v>188</v>
      </c>
      <c r="D291" s="35" t="s">
        <v>375</v>
      </c>
      <c r="E291" s="292">
        <v>276870590</v>
      </c>
      <c r="F291" s="292"/>
      <c r="G291" s="292">
        <f>E291-F291</f>
        <v>276870590</v>
      </c>
      <c r="H291" s="33">
        <f>SUM(I291:K291)</f>
        <v>18783529.5</v>
      </c>
      <c r="I291" s="33">
        <f>SUM(I292:I293)</f>
        <v>6778947.3700000001</v>
      </c>
      <c r="J291" s="33">
        <f t="shared" ref="J291:K291" si="130">SUM(J292:J293)</f>
        <v>12004582.130000001</v>
      </c>
      <c r="K291" s="33">
        <f t="shared" si="130"/>
        <v>0</v>
      </c>
      <c r="L291" s="52"/>
      <c r="M291" s="200"/>
      <c r="N291" s="200"/>
    </row>
    <row r="292" spans="1:14" ht="25.5" x14ac:dyDescent="0.2">
      <c r="A292" s="9" t="s">
        <v>81</v>
      </c>
      <c r="B292" s="95" t="s">
        <v>294</v>
      </c>
      <c r="C292" s="11"/>
      <c r="D292" s="11"/>
      <c r="E292" s="261"/>
      <c r="F292" s="261"/>
      <c r="G292" s="261"/>
      <c r="H292" s="8">
        <f>SUM(I292:K292)</f>
        <v>5200000</v>
      </c>
      <c r="I292" s="8">
        <v>5200000</v>
      </c>
      <c r="J292" s="8"/>
      <c r="K292" s="8"/>
      <c r="L292" s="52"/>
      <c r="M292" s="200"/>
      <c r="N292" s="200"/>
    </row>
    <row r="293" spans="1:14" ht="26.25" thickBot="1" x14ac:dyDescent="0.25">
      <c r="A293" s="199" t="s">
        <v>419</v>
      </c>
      <c r="B293" s="340" t="s">
        <v>420</v>
      </c>
      <c r="C293" s="12"/>
      <c r="D293" s="12"/>
      <c r="E293" s="263"/>
      <c r="F293" s="263"/>
      <c r="G293" s="263"/>
      <c r="H293" s="13">
        <f>SUM(I293:K293)</f>
        <v>13583529.5</v>
      </c>
      <c r="I293" s="13">
        <v>1578947.37</v>
      </c>
      <c r="J293" s="13">
        <v>12004582.130000001</v>
      </c>
      <c r="K293" s="13"/>
      <c r="L293" s="200"/>
      <c r="M293" s="200"/>
    </row>
    <row r="294" spans="1:14" ht="25.5" x14ac:dyDescent="0.2">
      <c r="A294" s="167" t="s">
        <v>450</v>
      </c>
      <c r="B294" s="34" t="s">
        <v>119</v>
      </c>
      <c r="C294" s="32" t="s">
        <v>129</v>
      </c>
      <c r="D294" s="32" t="s">
        <v>138</v>
      </c>
      <c r="E294" s="108">
        <v>1417656163.9200001</v>
      </c>
      <c r="F294" s="81">
        <v>1294755621.1600001</v>
      </c>
      <c r="G294" s="108">
        <f>E294-F294</f>
        <v>122900542.75999999</v>
      </c>
      <c r="H294" s="33">
        <f>SUM(I294:K294)</f>
        <v>39387025.600000001</v>
      </c>
      <c r="I294" s="33">
        <f>SUM(I295)</f>
        <v>39387025.600000001</v>
      </c>
      <c r="J294" s="33">
        <f t="shared" ref="J294:K294" si="131">SUM(J295)</f>
        <v>0</v>
      </c>
      <c r="K294" s="33">
        <f t="shared" si="131"/>
        <v>0</v>
      </c>
      <c r="L294" s="52"/>
      <c r="M294" s="200"/>
      <c r="N294" s="200"/>
    </row>
    <row r="295" spans="1:14" ht="26.25" thickBot="1" x14ac:dyDescent="0.25">
      <c r="A295" s="199" t="s">
        <v>143</v>
      </c>
      <c r="B295" s="340" t="s">
        <v>391</v>
      </c>
      <c r="C295" s="376"/>
      <c r="D295" s="376"/>
      <c r="E295" s="315"/>
      <c r="F295" s="315"/>
      <c r="G295" s="315"/>
      <c r="H295" s="13">
        <f>SUM(I295:K295)</f>
        <v>39387025.600000001</v>
      </c>
      <c r="I295" s="13">
        <v>39387025.600000001</v>
      </c>
      <c r="J295" s="13"/>
      <c r="K295" s="13"/>
      <c r="L295" s="52"/>
      <c r="M295" s="200"/>
      <c r="N295" s="200"/>
    </row>
    <row r="296" spans="1:14" ht="51.75" thickBot="1" x14ac:dyDescent="0.25">
      <c r="A296" s="10" t="s">
        <v>412</v>
      </c>
      <c r="B296" s="390"/>
      <c r="C296" s="376"/>
      <c r="D296" s="376"/>
      <c r="E296" s="315"/>
      <c r="F296" s="315"/>
      <c r="G296" s="315"/>
      <c r="H296" s="397">
        <f>I296+J296+K296</f>
        <v>1363357</v>
      </c>
      <c r="I296" s="397">
        <f>I297</f>
        <v>192496</v>
      </c>
      <c r="J296" s="397">
        <f t="shared" ref="J296:K296" si="132">J297</f>
        <v>1170861</v>
      </c>
      <c r="K296" s="397">
        <f t="shared" si="132"/>
        <v>0</v>
      </c>
      <c r="L296" s="52"/>
      <c r="M296" s="200"/>
      <c r="N296" s="200"/>
    </row>
    <row r="297" spans="1:14" ht="27.75" thickBot="1" x14ac:dyDescent="0.25">
      <c r="A297" s="55" t="s">
        <v>413</v>
      </c>
      <c r="B297" s="391"/>
      <c r="C297" s="376"/>
      <c r="D297" s="376"/>
      <c r="E297" s="315"/>
      <c r="F297" s="315"/>
      <c r="G297" s="315"/>
      <c r="H297" s="392">
        <f>I297+J297+K297</f>
        <v>1363357</v>
      </c>
      <c r="I297" s="392">
        <f>I298</f>
        <v>192496</v>
      </c>
      <c r="J297" s="392">
        <f t="shared" ref="J297:K297" si="133">J298</f>
        <v>1170861</v>
      </c>
      <c r="K297" s="392">
        <f t="shared" si="133"/>
        <v>0</v>
      </c>
      <c r="L297" s="52"/>
      <c r="M297" s="200"/>
      <c r="N297" s="200"/>
    </row>
    <row r="298" spans="1:14" ht="63.75" x14ac:dyDescent="0.2">
      <c r="A298" s="94" t="s">
        <v>414</v>
      </c>
      <c r="B298" s="34" t="s">
        <v>139</v>
      </c>
      <c r="C298" s="32" t="s">
        <v>415</v>
      </c>
      <c r="D298" s="32" t="s">
        <v>102</v>
      </c>
      <c r="E298" s="264">
        <v>148876440</v>
      </c>
      <c r="F298" s="292">
        <v>4206740</v>
      </c>
      <c r="G298" s="264">
        <f>E298-F298</f>
        <v>144669700</v>
      </c>
      <c r="H298" s="33">
        <f>SUM(I298:K298)</f>
        <v>1363357</v>
      </c>
      <c r="I298" s="33">
        <f>SUM(I299)</f>
        <v>192496</v>
      </c>
      <c r="J298" s="33">
        <f t="shared" ref="J298:K298" si="134">SUM(J299)</f>
        <v>1170861</v>
      </c>
      <c r="K298" s="33">
        <f t="shared" si="134"/>
        <v>0</v>
      </c>
      <c r="L298" s="52"/>
      <c r="M298" s="200"/>
      <c r="N298" s="200"/>
    </row>
    <row r="299" spans="1:14" ht="26.25" thickBot="1" x14ac:dyDescent="0.25">
      <c r="A299" s="197" t="s">
        <v>416</v>
      </c>
      <c r="B299" s="206" t="s">
        <v>417</v>
      </c>
      <c r="C299" s="11"/>
      <c r="D299" s="11"/>
      <c r="E299" s="8"/>
      <c r="F299" s="8"/>
      <c r="G299" s="8"/>
      <c r="H299" s="13">
        <f>SUM(I299:K299)</f>
        <v>1363357</v>
      </c>
      <c r="I299" s="13">
        <v>192496</v>
      </c>
      <c r="J299" s="13">
        <v>1170861</v>
      </c>
      <c r="K299" s="13"/>
      <c r="L299" s="52"/>
      <c r="M299" s="200"/>
      <c r="N299" s="200"/>
    </row>
    <row r="300" spans="1:14" ht="42" customHeight="1" thickBot="1" x14ac:dyDescent="0.25">
      <c r="A300" s="10" t="s">
        <v>151</v>
      </c>
      <c r="B300" s="111"/>
      <c r="C300" s="112"/>
      <c r="D300" s="112"/>
      <c r="E300" s="60"/>
      <c r="F300" s="60"/>
      <c r="G300" s="60"/>
      <c r="H300" s="67">
        <f>I300+J300+K300</f>
        <v>247806792.38999999</v>
      </c>
      <c r="I300" s="67">
        <f t="shared" ref="I300:K300" si="135">I301</f>
        <v>65988610.57</v>
      </c>
      <c r="J300" s="67">
        <f t="shared" si="135"/>
        <v>60606060.609999999</v>
      </c>
      <c r="K300" s="67">
        <f t="shared" si="135"/>
        <v>121212121.20999999</v>
      </c>
      <c r="L300" s="53"/>
      <c r="M300" s="52"/>
    </row>
    <row r="301" spans="1:14" ht="19.5" customHeight="1" thickBot="1" x14ac:dyDescent="0.25">
      <c r="A301" s="102" t="s">
        <v>82</v>
      </c>
      <c r="B301" s="111"/>
      <c r="C301" s="112"/>
      <c r="D301" s="112"/>
      <c r="E301" s="60"/>
      <c r="F301" s="60"/>
      <c r="G301" s="60"/>
      <c r="H301" s="56">
        <f>I301+J301+K301</f>
        <v>247806792.38999999</v>
      </c>
      <c r="I301" s="56">
        <f>I302+I306</f>
        <v>65988610.57</v>
      </c>
      <c r="J301" s="56">
        <f t="shared" ref="J301:K301" si="136">J302+J306</f>
        <v>60606060.609999999</v>
      </c>
      <c r="K301" s="56">
        <f t="shared" si="136"/>
        <v>121212121.20999999</v>
      </c>
      <c r="L301" s="53"/>
      <c r="M301" s="52"/>
    </row>
    <row r="302" spans="1:14" ht="42" customHeight="1" x14ac:dyDescent="0.2">
      <c r="A302" s="251" t="s">
        <v>68</v>
      </c>
      <c r="B302" s="253" t="s">
        <v>119</v>
      </c>
      <c r="C302" s="32" t="s">
        <v>8</v>
      </c>
      <c r="D302" s="32" t="s">
        <v>163</v>
      </c>
      <c r="E302" s="40" t="s">
        <v>11</v>
      </c>
      <c r="F302" s="292">
        <v>271020</v>
      </c>
      <c r="G302" s="264" t="s">
        <v>238</v>
      </c>
      <c r="H302" s="33">
        <f t="shared" ref="H302:H308" si="137">I302+J302+K302</f>
        <v>242574242.43000001</v>
      </c>
      <c r="I302" s="33">
        <f>SUM(I303:I305)</f>
        <v>60756060.609999999</v>
      </c>
      <c r="J302" s="33">
        <f t="shared" ref="J302:K302" si="138">SUM(J303:J305)</f>
        <v>60606060.609999999</v>
      </c>
      <c r="K302" s="33">
        <f t="shared" si="138"/>
        <v>121212121.20999999</v>
      </c>
      <c r="L302" s="53"/>
      <c r="M302" s="52"/>
    </row>
    <row r="303" spans="1:14" ht="25.5" x14ac:dyDescent="0.2">
      <c r="A303" s="197" t="s">
        <v>372</v>
      </c>
      <c r="B303" s="206" t="s">
        <v>365</v>
      </c>
      <c r="C303" s="11"/>
      <c r="D303" s="11"/>
      <c r="E303" s="27"/>
      <c r="F303" s="261"/>
      <c r="G303" s="309"/>
      <c r="H303" s="8">
        <f>I303+J303+K303</f>
        <v>150000</v>
      </c>
      <c r="I303" s="8">
        <v>150000</v>
      </c>
      <c r="J303" s="8"/>
      <c r="K303" s="8"/>
      <c r="L303" s="51"/>
      <c r="M303" s="52"/>
    </row>
    <row r="304" spans="1:14" ht="25.5" x14ac:dyDescent="0.2">
      <c r="A304" s="9" t="s">
        <v>9</v>
      </c>
      <c r="B304" s="5" t="s">
        <v>16</v>
      </c>
      <c r="C304" s="11"/>
      <c r="D304" s="11"/>
      <c r="E304" s="8"/>
      <c r="F304" s="216"/>
      <c r="G304" s="216"/>
      <c r="H304" s="8">
        <f>I304+J304+K304</f>
        <v>2424242.4299999997</v>
      </c>
      <c r="I304" s="8">
        <v>606060.61</v>
      </c>
      <c r="J304" s="8">
        <v>606060.61</v>
      </c>
      <c r="K304" s="8">
        <v>1212121.21</v>
      </c>
      <c r="L304" s="52"/>
      <c r="M304" s="52"/>
    </row>
    <row r="305" spans="1:13" ht="26.25" thickBot="1" x14ac:dyDescent="0.25">
      <c r="A305" s="16" t="s">
        <v>10</v>
      </c>
      <c r="B305" s="6" t="s">
        <v>15</v>
      </c>
      <c r="C305" s="12"/>
      <c r="D305" s="12"/>
      <c r="E305" s="13"/>
      <c r="F305" s="220"/>
      <c r="G305" s="220"/>
      <c r="H305" s="13">
        <f t="shared" si="137"/>
        <v>240000000</v>
      </c>
      <c r="I305" s="13">
        <v>60000000</v>
      </c>
      <c r="J305" s="13">
        <v>60000000</v>
      </c>
      <c r="K305" s="13">
        <v>120000000</v>
      </c>
      <c r="L305" s="52"/>
      <c r="M305" s="52"/>
    </row>
    <row r="306" spans="1:13" ht="36" x14ac:dyDescent="0.2">
      <c r="A306" s="379" t="s">
        <v>376</v>
      </c>
      <c r="B306" s="253" t="s">
        <v>119</v>
      </c>
      <c r="C306" s="91" t="s">
        <v>377</v>
      </c>
      <c r="D306" s="91" t="s">
        <v>138</v>
      </c>
      <c r="E306" s="81">
        <v>356036170</v>
      </c>
      <c r="F306" s="81">
        <v>291017676.54000002</v>
      </c>
      <c r="G306" s="81">
        <f>E306-F306</f>
        <v>65018493.459999979</v>
      </c>
      <c r="H306" s="14">
        <f t="shared" si="137"/>
        <v>5232549.96</v>
      </c>
      <c r="I306" s="33">
        <f>SUM(I307:I308)</f>
        <v>5232549.96</v>
      </c>
      <c r="J306" s="33">
        <f t="shared" ref="J306:K306" si="139">SUM(J307:J308)</f>
        <v>0</v>
      </c>
      <c r="K306" s="33">
        <f t="shared" si="139"/>
        <v>0</v>
      </c>
      <c r="L306" s="52"/>
      <c r="M306" s="52"/>
    </row>
    <row r="307" spans="1:13" ht="25.5" x14ac:dyDescent="0.2">
      <c r="A307" s="197" t="s">
        <v>372</v>
      </c>
      <c r="B307" s="206" t="s">
        <v>378</v>
      </c>
      <c r="C307" s="121"/>
      <c r="D307" s="121"/>
      <c r="E307" s="87"/>
      <c r="F307" s="87"/>
      <c r="G307" s="8"/>
      <c r="H307" s="8">
        <f t="shared" si="137"/>
        <v>5146688.42</v>
      </c>
      <c r="I307" s="8">
        <f>4557546.4+589142.02</f>
        <v>5146688.42</v>
      </c>
      <c r="J307" s="8"/>
      <c r="K307" s="8"/>
      <c r="L307" s="52"/>
      <c r="M307" s="52"/>
    </row>
    <row r="308" spans="1:13" ht="26.25" thickBot="1" x14ac:dyDescent="0.25">
      <c r="A308" s="197" t="s">
        <v>392</v>
      </c>
      <c r="B308" s="206" t="s">
        <v>393</v>
      </c>
      <c r="C308" s="386"/>
      <c r="D308" s="386"/>
      <c r="E308" s="104"/>
      <c r="F308" s="104"/>
      <c r="G308" s="25"/>
      <c r="H308" s="8">
        <f t="shared" si="137"/>
        <v>85861.54</v>
      </c>
      <c r="I308" s="25">
        <v>85861.54</v>
      </c>
      <c r="J308" s="25"/>
      <c r="K308" s="25"/>
      <c r="L308" s="52"/>
      <c r="M308" s="52"/>
    </row>
    <row r="309" spans="1:13" ht="24.75" customHeight="1" thickBot="1" x14ac:dyDescent="0.25">
      <c r="A309" s="418" t="s">
        <v>142</v>
      </c>
      <c r="B309" s="420"/>
      <c r="C309" s="61"/>
      <c r="D309" s="61"/>
      <c r="E309" s="62"/>
      <c r="F309" s="62"/>
      <c r="G309" s="62"/>
      <c r="H309" s="59">
        <f>H172+H266+H300+H296</f>
        <v>4559918306.8100004</v>
      </c>
      <c r="I309" s="59">
        <f>SUM(I310:I352)</f>
        <v>1297836554.0599997</v>
      </c>
      <c r="J309" s="59">
        <f>SUM(J310:J352)</f>
        <v>2254388377.9300003</v>
      </c>
      <c r="K309" s="59">
        <f>SUM(K310:K352)</f>
        <v>1007693374.8200001</v>
      </c>
      <c r="L309" s="3"/>
      <c r="M309" s="77"/>
    </row>
    <row r="310" spans="1:13" ht="25.5" x14ac:dyDescent="0.2">
      <c r="A310" s="336" t="s">
        <v>96</v>
      </c>
      <c r="B310" s="99" t="s">
        <v>294</v>
      </c>
      <c r="C310" s="91"/>
      <c r="D310" s="91"/>
      <c r="E310" s="81"/>
      <c r="F310" s="81"/>
      <c r="G310" s="81"/>
      <c r="H310" s="33">
        <f t="shared" ref="H310:H352" si="140">I310+J310+K310</f>
        <v>53468945.640000001</v>
      </c>
      <c r="I310" s="81">
        <f>I183+I209+I211+I213+I215+I217+I219+I221+I223+I225+I227+I229+I231+I233+I235+I237+I185+I187+I189+I191+I193+I195+I197</f>
        <v>18058912.289999999</v>
      </c>
      <c r="J310" s="81">
        <f t="shared" ref="J310:K310" si="141">J183+J209+J211+J213+J215+J217+J219+J221+J223+J225+J227+J229+J231+J233+J235+J237+J185+J187+J189+J191+J193+J195</f>
        <v>27161608.030000001</v>
      </c>
      <c r="K310" s="81">
        <f t="shared" si="141"/>
        <v>8248425.3200000003</v>
      </c>
      <c r="L310" s="129"/>
      <c r="M310" s="77"/>
    </row>
    <row r="311" spans="1:13" ht="25.5" x14ac:dyDescent="0.2">
      <c r="A311" s="9" t="s">
        <v>97</v>
      </c>
      <c r="B311" s="5" t="s">
        <v>27</v>
      </c>
      <c r="C311" s="121"/>
      <c r="D311" s="121"/>
      <c r="E311" s="87"/>
      <c r="F311" s="87"/>
      <c r="G311" s="87"/>
      <c r="H311" s="8">
        <f t="shared" si="140"/>
        <v>757950</v>
      </c>
      <c r="I311" s="87">
        <f t="shared" ref="I311:K312" si="142">I175</f>
        <v>757950</v>
      </c>
      <c r="J311" s="87">
        <f t="shared" si="142"/>
        <v>0</v>
      </c>
      <c r="K311" s="87">
        <f t="shared" si="142"/>
        <v>0</v>
      </c>
      <c r="L311" s="129"/>
      <c r="M311" s="77"/>
    </row>
    <row r="312" spans="1:13" ht="25.5" x14ac:dyDescent="0.2">
      <c r="A312" s="255" t="s">
        <v>98</v>
      </c>
      <c r="B312" s="93" t="s">
        <v>27</v>
      </c>
      <c r="C312" s="124"/>
      <c r="D312" s="124"/>
      <c r="E312" s="107"/>
      <c r="F312" s="107"/>
      <c r="G312" s="107"/>
      <c r="H312" s="8">
        <f t="shared" si="140"/>
        <v>14401050</v>
      </c>
      <c r="I312" s="87">
        <f t="shared" si="142"/>
        <v>14401050</v>
      </c>
      <c r="J312" s="87">
        <f t="shared" si="142"/>
        <v>0</v>
      </c>
      <c r="K312" s="87">
        <f t="shared" si="142"/>
        <v>0</v>
      </c>
      <c r="L312" s="3"/>
      <c r="M312" s="77"/>
    </row>
    <row r="313" spans="1:13" ht="25.5" x14ac:dyDescent="0.2">
      <c r="A313" s="9" t="s">
        <v>97</v>
      </c>
      <c r="B313" s="5" t="s">
        <v>211</v>
      </c>
      <c r="C313" s="125"/>
      <c r="D313" s="119"/>
      <c r="E313" s="120"/>
      <c r="F313" s="120"/>
      <c r="G313" s="120"/>
      <c r="H313" s="8">
        <f t="shared" si="140"/>
        <v>1836483.6099999999</v>
      </c>
      <c r="I313" s="8">
        <f t="shared" ref="I313:K314" si="143">I178</f>
        <v>1836483.6099999999</v>
      </c>
      <c r="J313" s="8">
        <f t="shared" si="143"/>
        <v>0</v>
      </c>
      <c r="K313" s="8">
        <f t="shared" si="143"/>
        <v>0</v>
      </c>
      <c r="M313" s="52"/>
    </row>
    <row r="314" spans="1:13" ht="25.5" x14ac:dyDescent="0.2">
      <c r="A314" s="9" t="s">
        <v>98</v>
      </c>
      <c r="B314" s="5" t="s">
        <v>28</v>
      </c>
      <c r="C314" s="126"/>
      <c r="D314" s="119"/>
      <c r="E314" s="120"/>
      <c r="F314" s="120"/>
      <c r="G314" s="120"/>
      <c r="H314" s="8">
        <f t="shared" si="140"/>
        <v>15325182</v>
      </c>
      <c r="I314" s="8">
        <f t="shared" si="143"/>
        <v>15325182</v>
      </c>
      <c r="J314" s="8">
        <f t="shared" si="143"/>
        <v>0</v>
      </c>
      <c r="K314" s="8">
        <f t="shared" si="143"/>
        <v>0</v>
      </c>
      <c r="M314" s="52"/>
    </row>
    <row r="315" spans="1:13" ht="25.5" x14ac:dyDescent="0.2">
      <c r="A315" s="197" t="s">
        <v>97</v>
      </c>
      <c r="B315" s="206" t="s">
        <v>403</v>
      </c>
      <c r="C315" s="126"/>
      <c r="D315" s="119"/>
      <c r="E315" s="120"/>
      <c r="F315" s="120"/>
      <c r="G315" s="120"/>
      <c r="H315" s="8">
        <f t="shared" si="140"/>
        <v>111652.06</v>
      </c>
      <c r="I315" s="8">
        <f>I199</f>
        <v>111652.06</v>
      </c>
      <c r="J315" s="8">
        <f t="shared" ref="J315:K315" si="144">J199</f>
        <v>0</v>
      </c>
      <c r="K315" s="8">
        <f t="shared" si="144"/>
        <v>0</v>
      </c>
      <c r="M315" s="52"/>
    </row>
    <row r="316" spans="1:13" ht="25.5" x14ac:dyDescent="0.2">
      <c r="A316" s="197" t="s">
        <v>97</v>
      </c>
      <c r="B316" s="206" t="s">
        <v>404</v>
      </c>
      <c r="C316" s="126"/>
      <c r="D316" s="119"/>
      <c r="E316" s="120"/>
      <c r="F316" s="120"/>
      <c r="G316" s="120"/>
      <c r="H316" s="8">
        <f t="shared" si="140"/>
        <v>162487.72</v>
      </c>
      <c r="I316" s="8">
        <f>I201</f>
        <v>162487.72</v>
      </c>
      <c r="J316" s="8">
        <f t="shared" ref="J316:K316" si="145">J201</f>
        <v>0</v>
      </c>
      <c r="K316" s="8">
        <f t="shared" si="145"/>
        <v>0</v>
      </c>
      <c r="M316" s="52"/>
    </row>
    <row r="317" spans="1:13" ht="25.5" x14ac:dyDescent="0.2">
      <c r="A317" s="197" t="s">
        <v>97</v>
      </c>
      <c r="B317" s="206" t="s">
        <v>405</v>
      </c>
      <c r="C317" s="126"/>
      <c r="D317" s="119"/>
      <c r="E317" s="120"/>
      <c r="F317" s="120"/>
      <c r="G317" s="120"/>
      <c r="H317" s="8">
        <f t="shared" si="140"/>
        <v>175995.39</v>
      </c>
      <c r="I317" s="8">
        <f>I203</f>
        <v>175995.39</v>
      </c>
      <c r="J317" s="8">
        <f t="shared" ref="J317:K317" si="146">J203</f>
        <v>0</v>
      </c>
      <c r="K317" s="8">
        <f t="shared" si="146"/>
        <v>0</v>
      </c>
      <c r="M317" s="52"/>
    </row>
    <row r="318" spans="1:13" ht="25.5" x14ac:dyDescent="0.2">
      <c r="A318" s="197" t="s">
        <v>97</v>
      </c>
      <c r="B318" s="206" t="s">
        <v>406</v>
      </c>
      <c r="C318" s="126"/>
      <c r="D318" s="119"/>
      <c r="E318" s="120"/>
      <c r="F318" s="120"/>
      <c r="G318" s="120"/>
      <c r="H318" s="8">
        <f t="shared" si="140"/>
        <v>1591165</v>
      </c>
      <c r="I318" s="8">
        <f>I205</f>
        <v>1591165</v>
      </c>
      <c r="J318" s="8">
        <f t="shared" ref="J318:K318" si="147">J205</f>
        <v>0</v>
      </c>
      <c r="K318" s="8">
        <f t="shared" si="147"/>
        <v>0</v>
      </c>
      <c r="M318" s="52"/>
    </row>
    <row r="319" spans="1:13" ht="25.5" x14ac:dyDescent="0.2">
      <c r="A319" s="197" t="s">
        <v>97</v>
      </c>
      <c r="B319" s="206" t="s">
        <v>407</v>
      </c>
      <c r="C319" s="126"/>
      <c r="D319" s="119"/>
      <c r="E319" s="120"/>
      <c r="F319" s="120"/>
      <c r="G319" s="120"/>
      <c r="H319" s="8">
        <f t="shared" si="140"/>
        <v>550595.5</v>
      </c>
      <c r="I319" s="8">
        <f>I207</f>
        <v>550595.5</v>
      </c>
      <c r="J319" s="8">
        <f t="shared" ref="J319:K319" si="148">J207</f>
        <v>0</v>
      </c>
      <c r="K319" s="8">
        <f t="shared" si="148"/>
        <v>0</v>
      </c>
      <c r="M319" s="52"/>
    </row>
    <row r="320" spans="1:13" ht="25.5" x14ac:dyDescent="0.2">
      <c r="A320" s="198" t="s">
        <v>373</v>
      </c>
      <c r="B320" s="337" t="s">
        <v>364</v>
      </c>
      <c r="C320" s="126"/>
      <c r="D320" s="119"/>
      <c r="E320" s="120"/>
      <c r="F320" s="120"/>
      <c r="G320" s="120"/>
      <c r="H320" s="8">
        <f t="shared" si="140"/>
        <v>300000</v>
      </c>
      <c r="I320" s="8">
        <f>I255+I259+I263</f>
        <v>300000</v>
      </c>
      <c r="J320" s="8">
        <f t="shared" ref="J320:K320" si="149">J255+J259+J263</f>
        <v>0</v>
      </c>
      <c r="K320" s="8">
        <f t="shared" si="149"/>
        <v>0</v>
      </c>
      <c r="M320" s="52"/>
    </row>
    <row r="321" spans="1:13" ht="25.5" x14ac:dyDescent="0.2">
      <c r="A321" s="197" t="s">
        <v>401</v>
      </c>
      <c r="B321" s="206" t="s">
        <v>408</v>
      </c>
      <c r="C321" s="126"/>
      <c r="D321" s="119"/>
      <c r="E321" s="120"/>
      <c r="F321" s="120"/>
      <c r="G321" s="120"/>
      <c r="H321" s="8">
        <f t="shared" si="140"/>
        <v>35891.74</v>
      </c>
      <c r="I321" s="8">
        <f>I240</f>
        <v>35891.74</v>
      </c>
      <c r="J321" s="8">
        <f t="shared" ref="J321:K321" si="150">J240</f>
        <v>0</v>
      </c>
      <c r="K321" s="8">
        <f t="shared" si="150"/>
        <v>0</v>
      </c>
      <c r="M321" s="52"/>
    </row>
    <row r="322" spans="1:13" ht="25.5" x14ac:dyDescent="0.2">
      <c r="A322" s="197" t="s">
        <v>100</v>
      </c>
      <c r="B322" s="206" t="s">
        <v>409</v>
      </c>
      <c r="C322" s="126"/>
      <c r="D322" s="119"/>
      <c r="E322" s="120"/>
      <c r="F322" s="120"/>
      <c r="G322" s="120"/>
      <c r="H322" s="8">
        <f t="shared" si="140"/>
        <v>45907.93</v>
      </c>
      <c r="I322" s="8">
        <f>I245</f>
        <v>45907.93</v>
      </c>
      <c r="J322" s="8">
        <f t="shared" ref="J322:K322" si="151">J245</f>
        <v>0</v>
      </c>
      <c r="K322" s="8">
        <f t="shared" si="151"/>
        <v>0</v>
      </c>
      <c r="M322" s="52"/>
    </row>
    <row r="323" spans="1:13" ht="25.5" x14ac:dyDescent="0.2">
      <c r="A323" s="197" t="s">
        <v>100</v>
      </c>
      <c r="B323" s="206" t="s">
        <v>410</v>
      </c>
      <c r="C323" s="126"/>
      <c r="D323" s="119"/>
      <c r="E323" s="120"/>
      <c r="F323" s="120"/>
      <c r="G323" s="120"/>
      <c r="H323" s="8">
        <f t="shared" si="140"/>
        <v>32628.69</v>
      </c>
      <c r="I323" s="8">
        <f>I250</f>
        <v>32628.69</v>
      </c>
      <c r="J323" s="8">
        <f t="shared" ref="J323:K323" si="152">J250</f>
        <v>0</v>
      </c>
      <c r="K323" s="8">
        <f t="shared" si="152"/>
        <v>0</v>
      </c>
      <c r="M323" s="52"/>
    </row>
    <row r="324" spans="1:13" ht="25.5" x14ac:dyDescent="0.2">
      <c r="A324" s="9" t="s">
        <v>100</v>
      </c>
      <c r="B324" s="5" t="s">
        <v>29</v>
      </c>
      <c r="C324" s="126"/>
      <c r="D324" s="119"/>
      <c r="E324" s="120"/>
      <c r="F324" s="120"/>
      <c r="G324" s="120"/>
      <c r="H324" s="8">
        <f t="shared" si="140"/>
        <v>100000</v>
      </c>
      <c r="I324" s="8">
        <f t="shared" ref="I324:K325" si="153">I256</f>
        <v>0</v>
      </c>
      <c r="J324" s="8">
        <f t="shared" si="153"/>
        <v>100000</v>
      </c>
      <c r="K324" s="8">
        <f t="shared" si="153"/>
        <v>0</v>
      </c>
      <c r="M324" s="52"/>
    </row>
    <row r="325" spans="1:13" ht="25.5" x14ac:dyDescent="0.2">
      <c r="A325" s="9" t="s">
        <v>101</v>
      </c>
      <c r="B325" s="5" t="s">
        <v>30</v>
      </c>
      <c r="C325" s="126"/>
      <c r="D325" s="119"/>
      <c r="E325" s="120"/>
      <c r="F325" s="120"/>
      <c r="G325" s="120"/>
      <c r="H325" s="8">
        <f t="shared" si="140"/>
        <v>9900000</v>
      </c>
      <c r="I325" s="8">
        <f t="shared" si="153"/>
        <v>0</v>
      </c>
      <c r="J325" s="8">
        <f t="shared" si="153"/>
        <v>9900000</v>
      </c>
      <c r="K325" s="8">
        <f t="shared" si="153"/>
        <v>0</v>
      </c>
      <c r="M325" s="52"/>
    </row>
    <row r="326" spans="1:13" ht="25.5" x14ac:dyDescent="0.2">
      <c r="A326" s="9" t="s">
        <v>100</v>
      </c>
      <c r="B326" s="5" t="s">
        <v>32</v>
      </c>
      <c r="C326" s="126"/>
      <c r="D326" s="119"/>
      <c r="E326" s="120"/>
      <c r="F326" s="120"/>
      <c r="G326" s="120"/>
      <c r="H326" s="8">
        <f>I326+J326+K326</f>
        <v>100000</v>
      </c>
      <c r="I326" s="8">
        <f t="shared" ref="I326:K327" si="154">I260</f>
        <v>0</v>
      </c>
      <c r="J326" s="8">
        <f t="shared" si="154"/>
        <v>100000</v>
      </c>
      <c r="K326" s="8">
        <f t="shared" si="154"/>
        <v>0</v>
      </c>
      <c r="M326" s="52"/>
    </row>
    <row r="327" spans="1:13" ht="25.5" x14ac:dyDescent="0.2">
      <c r="A327" s="9" t="s">
        <v>101</v>
      </c>
      <c r="B327" s="5" t="s">
        <v>31</v>
      </c>
      <c r="C327" s="126"/>
      <c r="D327" s="119"/>
      <c r="E327" s="120"/>
      <c r="F327" s="120"/>
      <c r="G327" s="120"/>
      <c r="H327" s="8">
        <f t="shared" si="140"/>
        <v>9900000</v>
      </c>
      <c r="I327" s="8">
        <f t="shared" si="154"/>
        <v>0</v>
      </c>
      <c r="J327" s="8">
        <f t="shared" si="154"/>
        <v>9900000</v>
      </c>
      <c r="K327" s="8">
        <f t="shared" si="154"/>
        <v>0</v>
      </c>
      <c r="M327" s="52"/>
    </row>
    <row r="328" spans="1:13" ht="25.5" x14ac:dyDescent="0.2">
      <c r="A328" s="75" t="s">
        <v>100</v>
      </c>
      <c r="B328" s="5" t="s">
        <v>212</v>
      </c>
      <c r="C328" s="126"/>
      <c r="D328" s="119"/>
      <c r="E328" s="120"/>
      <c r="F328" s="120"/>
      <c r="G328" s="120"/>
      <c r="H328" s="8">
        <f t="shared" si="140"/>
        <v>120000</v>
      </c>
      <c r="I328" s="8">
        <f t="shared" ref="I328:K329" si="155">I264</f>
        <v>0</v>
      </c>
      <c r="J328" s="8">
        <f t="shared" si="155"/>
        <v>120000</v>
      </c>
      <c r="K328" s="8">
        <f t="shared" si="155"/>
        <v>0</v>
      </c>
      <c r="M328" s="52"/>
    </row>
    <row r="329" spans="1:13" ht="25.5" x14ac:dyDescent="0.2">
      <c r="A329" s="9" t="s">
        <v>101</v>
      </c>
      <c r="B329" s="5" t="s">
        <v>33</v>
      </c>
      <c r="C329" s="126"/>
      <c r="D329" s="119"/>
      <c r="E329" s="120"/>
      <c r="F329" s="120"/>
      <c r="G329" s="120"/>
      <c r="H329" s="8">
        <f t="shared" si="140"/>
        <v>11880000</v>
      </c>
      <c r="I329" s="8">
        <f t="shared" si="155"/>
        <v>0</v>
      </c>
      <c r="J329" s="8">
        <f t="shared" si="155"/>
        <v>11880000</v>
      </c>
      <c r="K329" s="8">
        <f t="shared" si="155"/>
        <v>0</v>
      </c>
      <c r="M329" s="52"/>
    </row>
    <row r="330" spans="1:13" ht="25.5" x14ac:dyDescent="0.2">
      <c r="A330" s="100" t="s">
        <v>87</v>
      </c>
      <c r="B330" s="5" t="s">
        <v>44</v>
      </c>
      <c r="C330" s="126"/>
      <c r="D330" s="119"/>
      <c r="E330" s="120"/>
      <c r="F330" s="120"/>
      <c r="G330" s="120"/>
      <c r="H330" s="8">
        <f t="shared" si="140"/>
        <v>3434343.43</v>
      </c>
      <c r="I330" s="8">
        <f t="shared" ref="I330:K331" si="156">I270</f>
        <v>3434343.43</v>
      </c>
      <c r="J330" s="8">
        <f t="shared" si="156"/>
        <v>0</v>
      </c>
      <c r="K330" s="8">
        <f t="shared" si="156"/>
        <v>0</v>
      </c>
      <c r="M330" s="52"/>
    </row>
    <row r="331" spans="1:13" ht="25.5" x14ac:dyDescent="0.2">
      <c r="A331" s="100" t="s">
        <v>88</v>
      </c>
      <c r="B331" s="5" t="s">
        <v>44</v>
      </c>
      <c r="C331" s="126"/>
      <c r="D331" s="119"/>
      <c r="E331" s="120"/>
      <c r="F331" s="120"/>
      <c r="G331" s="120"/>
      <c r="H331" s="8">
        <f t="shared" si="140"/>
        <v>340000000</v>
      </c>
      <c r="I331" s="8">
        <f t="shared" si="156"/>
        <v>340000000</v>
      </c>
      <c r="J331" s="8">
        <f t="shared" si="156"/>
        <v>0</v>
      </c>
      <c r="K331" s="8">
        <f t="shared" si="156"/>
        <v>0</v>
      </c>
      <c r="M331" s="52"/>
    </row>
    <row r="332" spans="1:13" ht="25.5" x14ac:dyDescent="0.2">
      <c r="A332" s="9" t="s">
        <v>81</v>
      </c>
      <c r="B332" s="95" t="s">
        <v>294</v>
      </c>
      <c r="C332" s="126"/>
      <c r="D332" s="119"/>
      <c r="E332" s="120"/>
      <c r="F332" s="120"/>
      <c r="G332" s="120"/>
      <c r="H332" s="8">
        <f t="shared" si="140"/>
        <v>6000000</v>
      </c>
      <c r="I332" s="8">
        <f>I281+I292</f>
        <v>6000000</v>
      </c>
      <c r="J332" s="8">
        <f>J281+J292</f>
        <v>0</v>
      </c>
      <c r="K332" s="8">
        <f>K281+K292</f>
        <v>0</v>
      </c>
      <c r="M332" s="52"/>
    </row>
    <row r="333" spans="1:13" ht="25.5" x14ac:dyDescent="0.2">
      <c r="A333" s="197" t="s">
        <v>186</v>
      </c>
      <c r="B333" s="206" t="s">
        <v>255</v>
      </c>
      <c r="C333" s="126"/>
      <c r="D333" s="119"/>
      <c r="E333" s="120"/>
      <c r="F333" s="120"/>
      <c r="G333" s="120"/>
      <c r="H333" s="8">
        <f t="shared" si="140"/>
        <v>10850423.439999999</v>
      </c>
      <c r="I333" s="8">
        <f>I276</f>
        <v>4148078.77</v>
      </c>
      <c r="J333" s="8">
        <f>J276</f>
        <v>6702344.6699999999</v>
      </c>
      <c r="K333" s="8">
        <f>K276</f>
        <v>0</v>
      </c>
      <c r="M333" s="52"/>
    </row>
    <row r="334" spans="1:13" ht="25.5" x14ac:dyDescent="0.2">
      <c r="A334" s="197" t="s">
        <v>152</v>
      </c>
      <c r="B334" s="206" t="s">
        <v>255</v>
      </c>
      <c r="C334" s="126"/>
      <c r="D334" s="119"/>
      <c r="E334" s="120"/>
      <c r="F334" s="120"/>
      <c r="G334" s="120"/>
      <c r="H334" s="8">
        <f t="shared" si="140"/>
        <v>10741920</v>
      </c>
      <c r="I334" s="8">
        <f t="shared" ref="I334:K335" si="157">I278</f>
        <v>4106598</v>
      </c>
      <c r="J334" s="8">
        <f t="shared" si="157"/>
        <v>6635322</v>
      </c>
      <c r="K334" s="8">
        <f t="shared" si="157"/>
        <v>0</v>
      </c>
      <c r="M334" s="52"/>
    </row>
    <row r="335" spans="1:13" ht="25.5" x14ac:dyDescent="0.2">
      <c r="A335" s="198" t="s">
        <v>213</v>
      </c>
      <c r="B335" s="206" t="s">
        <v>255</v>
      </c>
      <c r="C335" s="126"/>
      <c r="D335" s="119"/>
      <c r="E335" s="120"/>
      <c r="F335" s="120"/>
      <c r="G335" s="120"/>
      <c r="H335" s="8">
        <f t="shared" si="140"/>
        <v>1063450000</v>
      </c>
      <c r="I335" s="8">
        <f t="shared" si="157"/>
        <v>406553200</v>
      </c>
      <c r="J335" s="8">
        <f t="shared" si="157"/>
        <v>656896800</v>
      </c>
      <c r="K335" s="8">
        <f t="shared" si="157"/>
        <v>0</v>
      </c>
      <c r="M335" s="52"/>
    </row>
    <row r="336" spans="1:13" ht="25.5" x14ac:dyDescent="0.2">
      <c r="A336" s="197" t="s">
        <v>143</v>
      </c>
      <c r="B336" s="5" t="s">
        <v>253</v>
      </c>
      <c r="C336" s="126"/>
      <c r="D336" s="119"/>
      <c r="E336" s="120"/>
      <c r="F336" s="120"/>
      <c r="G336" s="120"/>
      <c r="H336" s="8">
        <f t="shared" si="140"/>
        <v>9391885.879999999</v>
      </c>
      <c r="I336" s="8">
        <f>I282</f>
        <v>3662106.17</v>
      </c>
      <c r="J336" s="8">
        <f>J282</f>
        <v>5729779.71</v>
      </c>
      <c r="K336" s="8">
        <f>K282</f>
        <v>0</v>
      </c>
      <c r="M336" s="52"/>
    </row>
    <row r="337" spans="1:13" ht="25.5" x14ac:dyDescent="0.2">
      <c r="A337" s="197" t="s">
        <v>140</v>
      </c>
      <c r="B337" s="5" t="s">
        <v>254</v>
      </c>
      <c r="C337" s="126"/>
      <c r="D337" s="119"/>
      <c r="E337" s="120"/>
      <c r="F337" s="120"/>
      <c r="G337" s="120"/>
      <c r="H337" s="8">
        <f t="shared" si="140"/>
        <v>55787802.130000003</v>
      </c>
      <c r="I337" s="8">
        <f t="shared" ref="I337:K338" si="158">I284</f>
        <v>21752910.640000001</v>
      </c>
      <c r="J337" s="8">
        <f t="shared" si="158"/>
        <v>34034891.490000002</v>
      </c>
      <c r="K337" s="8">
        <f t="shared" si="158"/>
        <v>0</v>
      </c>
      <c r="M337" s="52"/>
    </row>
    <row r="338" spans="1:13" ht="25.5" x14ac:dyDescent="0.2">
      <c r="A338" s="197" t="s">
        <v>141</v>
      </c>
      <c r="B338" s="5" t="s">
        <v>253</v>
      </c>
      <c r="C338" s="126"/>
      <c r="D338" s="119"/>
      <c r="E338" s="120"/>
      <c r="F338" s="120"/>
      <c r="G338" s="120"/>
      <c r="H338" s="8">
        <f t="shared" si="140"/>
        <v>874008900</v>
      </c>
      <c r="I338" s="8">
        <f>I285</f>
        <v>340795600</v>
      </c>
      <c r="J338" s="8">
        <f t="shared" si="158"/>
        <v>533213300</v>
      </c>
      <c r="K338" s="8">
        <f t="shared" si="158"/>
        <v>0</v>
      </c>
      <c r="M338" s="52"/>
    </row>
    <row r="339" spans="1:13" ht="25.5" x14ac:dyDescent="0.2">
      <c r="A339" s="197" t="s">
        <v>186</v>
      </c>
      <c r="B339" s="206" t="s">
        <v>421</v>
      </c>
      <c r="C339" s="126"/>
      <c r="D339" s="119"/>
      <c r="E339" s="120"/>
      <c r="F339" s="120"/>
      <c r="G339" s="120"/>
      <c r="H339" s="8">
        <f t="shared" si="140"/>
        <v>2242624.46</v>
      </c>
      <c r="I339" s="8">
        <f>I277</f>
        <v>2242624.46</v>
      </c>
      <c r="J339" s="8">
        <f t="shared" ref="J339:K339" si="159">J277</f>
        <v>0</v>
      </c>
      <c r="K339" s="8">
        <f t="shared" si="159"/>
        <v>0</v>
      </c>
      <c r="M339" s="52"/>
    </row>
    <row r="340" spans="1:13" ht="25.5" x14ac:dyDescent="0.2">
      <c r="A340" s="197" t="s">
        <v>143</v>
      </c>
      <c r="B340" s="206" t="s">
        <v>422</v>
      </c>
      <c r="C340" s="126"/>
      <c r="D340" s="119"/>
      <c r="E340" s="120"/>
      <c r="F340" s="120"/>
      <c r="G340" s="120"/>
      <c r="H340" s="8">
        <f t="shared" si="140"/>
        <v>4608111.12</v>
      </c>
      <c r="I340" s="8">
        <f>I283</f>
        <v>4608111.12</v>
      </c>
      <c r="J340" s="8">
        <f t="shared" ref="J340:K340" si="160">J283</f>
        <v>0</v>
      </c>
      <c r="K340" s="8">
        <f t="shared" si="160"/>
        <v>0</v>
      </c>
      <c r="M340" s="52"/>
    </row>
    <row r="341" spans="1:13" ht="25.5" x14ac:dyDescent="0.2">
      <c r="A341" s="197" t="s">
        <v>419</v>
      </c>
      <c r="B341" s="206" t="s">
        <v>423</v>
      </c>
      <c r="C341" s="126"/>
      <c r="D341" s="119"/>
      <c r="E341" s="120"/>
      <c r="F341" s="120"/>
      <c r="G341" s="120"/>
      <c r="H341" s="8">
        <f t="shared" si="140"/>
        <v>13583529.5</v>
      </c>
      <c r="I341" s="8">
        <f>I293</f>
        <v>1578947.37</v>
      </c>
      <c r="J341" s="8">
        <f t="shared" ref="J341:K341" si="161">J293</f>
        <v>12004582.130000001</v>
      </c>
      <c r="K341" s="8">
        <f t="shared" si="161"/>
        <v>0</v>
      </c>
      <c r="M341" s="52"/>
    </row>
    <row r="342" spans="1:13" ht="25.5" x14ac:dyDescent="0.2">
      <c r="A342" s="197" t="s">
        <v>143</v>
      </c>
      <c r="B342" s="206" t="s">
        <v>391</v>
      </c>
      <c r="C342" s="126"/>
      <c r="D342" s="119"/>
      <c r="E342" s="120"/>
      <c r="F342" s="120"/>
      <c r="G342" s="120"/>
      <c r="H342" s="8">
        <f t="shared" si="140"/>
        <v>39387025.600000001</v>
      </c>
      <c r="I342" s="8">
        <f>I295</f>
        <v>39387025.600000001</v>
      </c>
      <c r="J342" s="8">
        <f t="shared" ref="J342:K342" si="162">J295</f>
        <v>0</v>
      </c>
      <c r="K342" s="8">
        <f t="shared" si="162"/>
        <v>0</v>
      </c>
      <c r="M342" s="52"/>
    </row>
    <row r="343" spans="1:13" ht="25.5" x14ac:dyDescent="0.2">
      <c r="A343" s="197" t="s">
        <v>164</v>
      </c>
      <c r="B343" s="5" t="s">
        <v>171</v>
      </c>
      <c r="C343" s="126"/>
      <c r="D343" s="119"/>
      <c r="E343" s="120"/>
      <c r="F343" s="120"/>
      <c r="G343" s="120"/>
      <c r="H343" s="8">
        <f t="shared" si="140"/>
        <v>3601151.52</v>
      </c>
      <c r="I343" s="8">
        <f t="shared" ref="I343:K346" si="163">I287</f>
        <v>0</v>
      </c>
      <c r="J343" s="8">
        <f t="shared" si="163"/>
        <v>1800575.76</v>
      </c>
      <c r="K343" s="8">
        <f t="shared" si="163"/>
        <v>1800575.76</v>
      </c>
      <c r="M343" s="52"/>
    </row>
    <row r="344" spans="1:13" ht="25.5" x14ac:dyDescent="0.2">
      <c r="A344" s="197" t="s">
        <v>166</v>
      </c>
      <c r="B344" s="5" t="s">
        <v>265</v>
      </c>
      <c r="C344" s="126"/>
      <c r="D344" s="119"/>
      <c r="E344" s="120"/>
      <c r="F344" s="120"/>
      <c r="G344" s="120"/>
      <c r="H344" s="8">
        <f t="shared" si="140"/>
        <v>13963505.059999999</v>
      </c>
      <c r="I344" s="8">
        <f t="shared" si="163"/>
        <v>0</v>
      </c>
      <c r="J344" s="8">
        <f t="shared" si="163"/>
        <v>6981752.5299999993</v>
      </c>
      <c r="K344" s="8">
        <f t="shared" si="163"/>
        <v>6981752.5299999993</v>
      </c>
      <c r="M344" s="52"/>
    </row>
    <row r="345" spans="1:13" ht="25.5" x14ac:dyDescent="0.2">
      <c r="A345" s="197" t="s">
        <v>167</v>
      </c>
      <c r="B345" s="24" t="s">
        <v>170</v>
      </c>
      <c r="C345" s="126"/>
      <c r="D345" s="119"/>
      <c r="E345" s="120"/>
      <c r="F345" s="120"/>
      <c r="G345" s="120"/>
      <c r="H345" s="8">
        <f t="shared" si="140"/>
        <v>356514000</v>
      </c>
      <c r="I345" s="8">
        <f t="shared" si="163"/>
        <v>0</v>
      </c>
      <c r="J345" s="8">
        <f t="shared" si="163"/>
        <v>178257000</v>
      </c>
      <c r="K345" s="8">
        <f t="shared" si="163"/>
        <v>178257000</v>
      </c>
      <c r="M345" s="52"/>
    </row>
    <row r="346" spans="1:13" ht="25.5" x14ac:dyDescent="0.2">
      <c r="A346" s="197" t="s">
        <v>169</v>
      </c>
      <c r="B346" s="5" t="s">
        <v>265</v>
      </c>
      <c r="C346" s="126"/>
      <c r="D346" s="119"/>
      <c r="E346" s="120"/>
      <c r="F346" s="120"/>
      <c r="G346" s="120"/>
      <c r="H346" s="8">
        <f t="shared" si="140"/>
        <v>1382387000</v>
      </c>
      <c r="I346" s="8">
        <f t="shared" si="163"/>
        <v>0</v>
      </c>
      <c r="J346" s="8">
        <f t="shared" si="163"/>
        <v>691193500</v>
      </c>
      <c r="K346" s="8">
        <f t="shared" si="163"/>
        <v>691193500</v>
      </c>
      <c r="M346" s="52"/>
    </row>
    <row r="347" spans="1:13" ht="25.5" x14ac:dyDescent="0.2">
      <c r="A347" s="197" t="s">
        <v>416</v>
      </c>
      <c r="B347" s="206" t="s">
        <v>424</v>
      </c>
      <c r="C347" s="126"/>
      <c r="D347" s="119"/>
      <c r="E347" s="120"/>
      <c r="F347" s="120"/>
      <c r="G347" s="120"/>
      <c r="H347" s="8">
        <f t="shared" si="140"/>
        <v>1363357</v>
      </c>
      <c r="I347" s="8">
        <f>I299</f>
        <v>192496</v>
      </c>
      <c r="J347" s="8">
        <f t="shared" ref="J347:K347" si="164">J299</f>
        <v>1170861</v>
      </c>
      <c r="K347" s="8">
        <f t="shared" si="164"/>
        <v>0</v>
      </c>
      <c r="M347" s="52"/>
    </row>
    <row r="348" spans="1:13" ht="25.5" x14ac:dyDescent="0.2">
      <c r="A348" s="197" t="s">
        <v>372</v>
      </c>
      <c r="B348" s="206" t="s">
        <v>365</v>
      </c>
      <c r="C348" s="126"/>
      <c r="D348" s="119"/>
      <c r="E348" s="120"/>
      <c r="F348" s="120"/>
      <c r="G348" s="120"/>
      <c r="H348" s="8">
        <f t="shared" si="140"/>
        <v>150000</v>
      </c>
      <c r="I348" s="8">
        <f>I303</f>
        <v>150000</v>
      </c>
      <c r="J348" s="8">
        <f t="shared" ref="J348:K348" si="165">J303</f>
        <v>0</v>
      </c>
      <c r="K348" s="8">
        <f t="shared" si="165"/>
        <v>0</v>
      </c>
      <c r="M348" s="52"/>
    </row>
    <row r="349" spans="1:13" ht="25.5" x14ac:dyDescent="0.2">
      <c r="A349" s="197" t="s">
        <v>372</v>
      </c>
      <c r="B349" s="206" t="s">
        <v>378</v>
      </c>
      <c r="C349" s="126"/>
      <c r="D349" s="119"/>
      <c r="E349" s="120"/>
      <c r="F349" s="120"/>
      <c r="G349" s="120"/>
      <c r="H349" s="8">
        <f t="shared" si="140"/>
        <v>5146688.42</v>
      </c>
      <c r="I349" s="8">
        <f>I307</f>
        <v>5146688.42</v>
      </c>
      <c r="J349" s="8">
        <f t="shared" ref="J349:K349" si="166">J307</f>
        <v>0</v>
      </c>
      <c r="K349" s="8">
        <f t="shared" si="166"/>
        <v>0</v>
      </c>
      <c r="M349" s="52"/>
    </row>
    <row r="350" spans="1:13" ht="25.5" x14ac:dyDescent="0.2">
      <c r="A350" s="197" t="s">
        <v>392</v>
      </c>
      <c r="B350" s="206" t="s">
        <v>393</v>
      </c>
      <c r="C350" s="126"/>
      <c r="D350" s="119"/>
      <c r="E350" s="120"/>
      <c r="F350" s="120"/>
      <c r="G350" s="120"/>
      <c r="H350" s="8">
        <f t="shared" si="140"/>
        <v>85861.54</v>
      </c>
      <c r="I350" s="8">
        <f>I308</f>
        <v>85861.54</v>
      </c>
      <c r="J350" s="8">
        <f t="shared" ref="J350:K350" si="167">J308</f>
        <v>0</v>
      </c>
      <c r="K350" s="8">
        <f t="shared" si="167"/>
        <v>0</v>
      </c>
      <c r="M350" s="52"/>
    </row>
    <row r="351" spans="1:13" ht="25.5" x14ac:dyDescent="0.2">
      <c r="A351" s="9" t="s">
        <v>9</v>
      </c>
      <c r="B351" s="5" t="s">
        <v>34</v>
      </c>
      <c r="C351" s="126"/>
      <c r="D351" s="119"/>
      <c r="E351" s="120"/>
      <c r="F351" s="120"/>
      <c r="G351" s="120"/>
      <c r="H351" s="8">
        <f t="shared" si="140"/>
        <v>2424242.4299999997</v>
      </c>
      <c r="I351" s="8">
        <f t="shared" ref="I351:K352" si="168">I304</f>
        <v>606060.61</v>
      </c>
      <c r="J351" s="8">
        <f t="shared" si="168"/>
        <v>606060.61</v>
      </c>
      <c r="K351" s="8">
        <f t="shared" si="168"/>
        <v>1212121.21</v>
      </c>
      <c r="M351" s="52"/>
    </row>
    <row r="352" spans="1:13" ht="26.25" thickBot="1" x14ac:dyDescent="0.25">
      <c r="A352" s="16" t="s">
        <v>10</v>
      </c>
      <c r="B352" s="6" t="s">
        <v>34</v>
      </c>
      <c r="C352" s="395"/>
      <c r="D352" s="118"/>
      <c r="E352" s="396"/>
      <c r="F352" s="396"/>
      <c r="G352" s="396"/>
      <c r="H352" s="13">
        <f t="shared" si="140"/>
        <v>240000000</v>
      </c>
      <c r="I352" s="13">
        <f t="shared" si="168"/>
        <v>60000000</v>
      </c>
      <c r="J352" s="13">
        <f t="shared" si="168"/>
        <v>60000000</v>
      </c>
      <c r="K352" s="13">
        <f t="shared" si="168"/>
        <v>120000000</v>
      </c>
      <c r="M352" s="52"/>
    </row>
    <row r="353" spans="1:13" ht="27.75" customHeight="1" thickBot="1" x14ac:dyDescent="0.25">
      <c r="A353" s="413" t="s">
        <v>122</v>
      </c>
      <c r="B353" s="415"/>
      <c r="C353" s="134"/>
      <c r="D353" s="134"/>
      <c r="E353" s="135"/>
      <c r="F353" s="135"/>
      <c r="G353" s="135"/>
      <c r="H353" s="131">
        <f>H309</f>
        <v>4559918306.8100004</v>
      </c>
      <c r="I353" s="131">
        <f>SUM(I354:I396)</f>
        <v>1297836554.0599997</v>
      </c>
      <c r="J353" s="131">
        <f>SUM(J354:J396)</f>
        <v>2254388377.9300003</v>
      </c>
      <c r="K353" s="131">
        <f>SUM(K354:K396)</f>
        <v>1007693374.8200001</v>
      </c>
      <c r="L353" s="3"/>
      <c r="M353" s="77"/>
    </row>
    <row r="354" spans="1:13" ht="25.5" x14ac:dyDescent="0.2">
      <c r="A354" s="336" t="s">
        <v>96</v>
      </c>
      <c r="B354" s="95" t="s">
        <v>294</v>
      </c>
      <c r="C354" s="127"/>
      <c r="D354" s="127"/>
      <c r="E354" s="128"/>
      <c r="F354" s="128"/>
      <c r="G354" s="128"/>
      <c r="H354" s="33">
        <f t="shared" ref="H354:H396" si="169">I354+J354+K354</f>
        <v>53468945.640000001</v>
      </c>
      <c r="I354" s="81">
        <f t="shared" ref="I354:K358" si="170">I310</f>
        <v>18058912.289999999</v>
      </c>
      <c r="J354" s="81">
        <f t="shared" si="170"/>
        <v>27161608.030000001</v>
      </c>
      <c r="K354" s="81">
        <f t="shared" si="170"/>
        <v>8248425.3200000003</v>
      </c>
      <c r="L354" s="3"/>
      <c r="M354" s="52"/>
    </row>
    <row r="355" spans="1:13" ht="25.5" x14ac:dyDescent="0.2">
      <c r="A355" s="9" t="s">
        <v>97</v>
      </c>
      <c r="B355" s="5" t="s">
        <v>27</v>
      </c>
      <c r="C355" s="144"/>
      <c r="D355" s="144"/>
      <c r="E355" s="145"/>
      <c r="F355" s="145"/>
      <c r="G355" s="145"/>
      <c r="H355" s="8">
        <f t="shared" si="169"/>
        <v>757950</v>
      </c>
      <c r="I355" s="98">
        <f t="shared" si="170"/>
        <v>757950</v>
      </c>
      <c r="J355" s="98">
        <f t="shared" si="170"/>
        <v>0</v>
      </c>
      <c r="K355" s="98">
        <f t="shared" si="170"/>
        <v>0</v>
      </c>
      <c r="L355" s="3"/>
      <c r="M355" s="52"/>
    </row>
    <row r="356" spans="1:13" ht="25.5" x14ac:dyDescent="0.2">
      <c r="A356" s="255" t="s">
        <v>98</v>
      </c>
      <c r="B356" s="93" t="s">
        <v>27</v>
      </c>
      <c r="C356" s="144"/>
      <c r="D356" s="144"/>
      <c r="E356" s="145"/>
      <c r="F356" s="145"/>
      <c r="G356" s="145"/>
      <c r="H356" s="8">
        <f t="shared" si="169"/>
        <v>14401050</v>
      </c>
      <c r="I356" s="98">
        <f t="shared" si="170"/>
        <v>14401050</v>
      </c>
      <c r="J356" s="98">
        <f t="shared" si="170"/>
        <v>0</v>
      </c>
      <c r="K356" s="98">
        <f t="shared" si="170"/>
        <v>0</v>
      </c>
      <c r="L356" s="3"/>
      <c r="M356" s="52"/>
    </row>
    <row r="357" spans="1:13" ht="25.5" x14ac:dyDescent="0.2">
      <c r="A357" s="9" t="s">
        <v>97</v>
      </c>
      <c r="B357" s="5" t="s">
        <v>211</v>
      </c>
      <c r="C357" s="162"/>
      <c r="D357" s="162"/>
      <c r="E357" s="163"/>
      <c r="F357" s="163"/>
      <c r="G357" s="163"/>
      <c r="H357" s="8">
        <f t="shared" si="169"/>
        <v>1836483.6099999999</v>
      </c>
      <c r="I357" s="87">
        <f t="shared" si="170"/>
        <v>1836483.6099999999</v>
      </c>
      <c r="J357" s="87">
        <f t="shared" si="170"/>
        <v>0</v>
      </c>
      <c r="K357" s="87">
        <f t="shared" si="170"/>
        <v>0</v>
      </c>
      <c r="L357" s="3"/>
      <c r="M357" s="52"/>
    </row>
    <row r="358" spans="1:13" ht="25.5" x14ac:dyDescent="0.2">
      <c r="A358" s="9" t="s">
        <v>98</v>
      </c>
      <c r="B358" s="5" t="s">
        <v>28</v>
      </c>
      <c r="C358" s="162"/>
      <c r="D358" s="162"/>
      <c r="E358" s="163"/>
      <c r="F358" s="163"/>
      <c r="G358" s="163"/>
      <c r="H358" s="8">
        <f t="shared" si="169"/>
        <v>15325182</v>
      </c>
      <c r="I358" s="87">
        <f t="shared" si="170"/>
        <v>15325182</v>
      </c>
      <c r="J358" s="87">
        <f t="shared" si="170"/>
        <v>0</v>
      </c>
      <c r="K358" s="87">
        <f t="shared" si="170"/>
        <v>0</v>
      </c>
      <c r="L358" s="3"/>
      <c r="M358" s="52"/>
    </row>
    <row r="359" spans="1:13" ht="25.5" x14ac:dyDescent="0.2">
      <c r="A359" s="197" t="s">
        <v>97</v>
      </c>
      <c r="B359" s="206" t="s">
        <v>403</v>
      </c>
      <c r="C359" s="144"/>
      <c r="D359" s="144"/>
      <c r="E359" s="145"/>
      <c r="F359" s="145"/>
      <c r="G359" s="145"/>
      <c r="H359" s="8">
        <f t="shared" si="169"/>
        <v>111652.06</v>
      </c>
      <c r="I359" s="98">
        <f t="shared" ref="I359:I394" si="171">I315</f>
        <v>111652.06</v>
      </c>
      <c r="J359" s="98">
        <f t="shared" ref="J359:K359" si="172">J315</f>
        <v>0</v>
      </c>
      <c r="K359" s="98">
        <f t="shared" si="172"/>
        <v>0</v>
      </c>
      <c r="L359" s="3"/>
      <c r="M359" s="52"/>
    </row>
    <row r="360" spans="1:13" ht="25.5" x14ac:dyDescent="0.2">
      <c r="A360" s="197" t="s">
        <v>97</v>
      </c>
      <c r="B360" s="206" t="s">
        <v>404</v>
      </c>
      <c r="C360" s="144"/>
      <c r="D360" s="144"/>
      <c r="E360" s="145"/>
      <c r="F360" s="145"/>
      <c r="G360" s="145"/>
      <c r="H360" s="8">
        <f t="shared" si="169"/>
        <v>162487.72</v>
      </c>
      <c r="I360" s="98">
        <f t="shared" si="171"/>
        <v>162487.72</v>
      </c>
      <c r="J360" s="98">
        <f t="shared" ref="J360:K360" si="173">J316</f>
        <v>0</v>
      </c>
      <c r="K360" s="98">
        <f t="shared" si="173"/>
        <v>0</v>
      </c>
      <c r="L360" s="3"/>
      <c r="M360" s="52"/>
    </row>
    <row r="361" spans="1:13" ht="25.5" x14ac:dyDescent="0.2">
      <c r="A361" s="197" t="s">
        <v>97</v>
      </c>
      <c r="B361" s="206" t="s">
        <v>405</v>
      </c>
      <c r="C361" s="144"/>
      <c r="D361" s="144"/>
      <c r="E361" s="145"/>
      <c r="F361" s="145"/>
      <c r="G361" s="145"/>
      <c r="H361" s="8">
        <f t="shared" si="169"/>
        <v>175995.39</v>
      </c>
      <c r="I361" s="98">
        <f t="shared" si="171"/>
        <v>175995.39</v>
      </c>
      <c r="J361" s="98">
        <f t="shared" ref="J361:K361" si="174">J317</f>
        <v>0</v>
      </c>
      <c r="K361" s="98">
        <f t="shared" si="174"/>
        <v>0</v>
      </c>
      <c r="L361" s="3"/>
      <c r="M361" s="52"/>
    </row>
    <row r="362" spans="1:13" ht="25.5" x14ac:dyDescent="0.2">
      <c r="A362" s="197" t="s">
        <v>97</v>
      </c>
      <c r="B362" s="206" t="s">
        <v>406</v>
      </c>
      <c r="C362" s="144"/>
      <c r="D362" s="144"/>
      <c r="E362" s="145"/>
      <c r="F362" s="145"/>
      <c r="G362" s="145"/>
      <c r="H362" s="8">
        <f t="shared" si="169"/>
        <v>1591165</v>
      </c>
      <c r="I362" s="98">
        <f t="shared" si="171"/>
        <v>1591165</v>
      </c>
      <c r="J362" s="98">
        <f t="shared" ref="J362:K362" si="175">J318</f>
        <v>0</v>
      </c>
      <c r="K362" s="98">
        <f t="shared" si="175"/>
        <v>0</v>
      </c>
      <c r="L362" s="3"/>
      <c r="M362" s="52"/>
    </row>
    <row r="363" spans="1:13" ht="25.5" x14ac:dyDescent="0.2">
      <c r="A363" s="197" t="s">
        <v>97</v>
      </c>
      <c r="B363" s="206" t="s">
        <v>407</v>
      </c>
      <c r="C363" s="144"/>
      <c r="D363" s="144"/>
      <c r="E363" s="145"/>
      <c r="F363" s="145"/>
      <c r="G363" s="145"/>
      <c r="H363" s="8">
        <f t="shared" si="169"/>
        <v>550595.5</v>
      </c>
      <c r="I363" s="98">
        <f t="shared" si="171"/>
        <v>550595.5</v>
      </c>
      <c r="J363" s="98">
        <f t="shared" ref="J363:K363" si="176">J319</f>
        <v>0</v>
      </c>
      <c r="K363" s="98">
        <f t="shared" si="176"/>
        <v>0</v>
      </c>
      <c r="L363" s="3"/>
      <c r="M363" s="52"/>
    </row>
    <row r="364" spans="1:13" ht="25.5" x14ac:dyDescent="0.2">
      <c r="A364" s="198" t="s">
        <v>373</v>
      </c>
      <c r="B364" s="337" t="s">
        <v>364</v>
      </c>
      <c r="C364" s="144"/>
      <c r="D364" s="144"/>
      <c r="E364" s="145"/>
      <c r="F364" s="145"/>
      <c r="G364" s="145"/>
      <c r="H364" s="8">
        <f t="shared" si="169"/>
        <v>300000</v>
      </c>
      <c r="I364" s="98">
        <f t="shared" si="171"/>
        <v>300000</v>
      </c>
      <c r="J364" s="98">
        <f t="shared" ref="J364:K364" si="177">J320</f>
        <v>0</v>
      </c>
      <c r="K364" s="98">
        <f t="shared" si="177"/>
        <v>0</v>
      </c>
      <c r="L364" s="3"/>
      <c r="M364" s="52"/>
    </row>
    <row r="365" spans="1:13" ht="25.5" x14ac:dyDescent="0.2">
      <c r="A365" s="197" t="s">
        <v>401</v>
      </c>
      <c r="B365" s="206" t="s">
        <v>408</v>
      </c>
      <c r="C365" s="144"/>
      <c r="D365" s="144"/>
      <c r="E365" s="145"/>
      <c r="F365" s="145"/>
      <c r="G365" s="145"/>
      <c r="H365" s="8">
        <f t="shared" si="169"/>
        <v>35891.74</v>
      </c>
      <c r="I365" s="98">
        <f t="shared" si="171"/>
        <v>35891.74</v>
      </c>
      <c r="J365" s="98">
        <f t="shared" ref="J365:K365" si="178">J321</f>
        <v>0</v>
      </c>
      <c r="K365" s="98">
        <f t="shared" si="178"/>
        <v>0</v>
      </c>
      <c r="L365" s="3"/>
      <c r="M365" s="52"/>
    </row>
    <row r="366" spans="1:13" ht="25.5" x14ac:dyDescent="0.2">
      <c r="A366" s="197" t="s">
        <v>100</v>
      </c>
      <c r="B366" s="206" t="s">
        <v>409</v>
      </c>
      <c r="C366" s="162"/>
      <c r="D366" s="162"/>
      <c r="E366" s="163"/>
      <c r="F366" s="163"/>
      <c r="G366" s="163"/>
      <c r="H366" s="8">
        <f t="shared" si="169"/>
        <v>45907.93</v>
      </c>
      <c r="I366" s="87">
        <f t="shared" si="171"/>
        <v>45907.93</v>
      </c>
      <c r="J366" s="87">
        <f t="shared" ref="J366:K366" si="179">J322</f>
        <v>0</v>
      </c>
      <c r="K366" s="87">
        <f t="shared" si="179"/>
        <v>0</v>
      </c>
      <c r="L366" s="3"/>
      <c r="M366" s="52"/>
    </row>
    <row r="367" spans="1:13" ht="25.5" x14ac:dyDescent="0.2">
      <c r="A367" s="197" t="s">
        <v>100</v>
      </c>
      <c r="B367" s="206" t="s">
        <v>410</v>
      </c>
      <c r="C367" s="144"/>
      <c r="D367" s="144"/>
      <c r="E367" s="145"/>
      <c r="F367" s="145"/>
      <c r="G367" s="145"/>
      <c r="H367" s="8">
        <f t="shared" si="169"/>
        <v>32628.69</v>
      </c>
      <c r="I367" s="98">
        <f t="shared" si="171"/>
        <v>32628.69</v>
      </c>
      <c r="J367" s="98">
        <f t="shared" ref="J367:K367" si="180">J323</f>
        <v>0</v>
      </c>
      <c r="K367" s="98">
        <f t="shared" si="180"/>
        <v>0</v>
      </c>
      <c r="L367" s="3"/>
      <c r="M367" s="52"/>
    </row>
    <row r="368" spans="1:13" ht="25.5" x14ac:dyDescent="0.2">
      <c r="A368" s="9" t="s">
        <v>100</v>
      </c>
      <c r="B368" s="5" t="s">
        <v>29</v>
      </c>
      <c r="C368" s="162"/>
      <c r="D368" s="162"/>
      <c r="E368" s="163"/>
      <c r="F368" s="163"/>
      <c r="G368" s="163"/>
      <c r="H368" s="8">
        <f t="shared" si="169"/>
        <v>100000</v>
      </c>
      <c r="I368" s="87">
        <f t="shared" si="171"/>
        <v>0</v>
      </c>
      <c r="J368" s="87">
        <f t="shared" ref="J368:K382" si="181">J324</f>
        <v>100000</v>
      </c>
      <c r="K368" s="87">
        <f t="shared" si="181"/>
        <v>0</v>
      </c>
      <c r="L368" s="3"/>
      <c r="M368" s="52"/>
    </row>
    <row r="369" spans="1:13" ht="25.5" x14ac:dyDescent="0.2">
      <c r="A369" s="9" t="s">
        <v>101</v>
      </c>
      <c r="B369" s="5" t="s">
        <v>30</v>
      </c>
      <c r="C369" s="162"/>
      <c r="D369" s="162"/>
      <c r="E369" s="163"/>
      <c r="F369" s="163"/>
      <c r="G369" s="163"/>
      <c r="H369" s="8">
        <f t="shared" si="169"/>
        <v>9900000</v>
      </c>
      <c r="I369" s="87">
        <f t="shared" si="171"/>
        <v>0</v>
      </c>
      <c r="J369" s="87">
        <f t="shared" si="181"/>
        <v>9900000</v>
      </c>
      <c r="K369" s="87">
        <f t="shared" si="181"/>
        <v>0</v>
      </c>
      <c r="L369" s="3"/>
      <c r="M369" s="52"/>
    </row>
    <row r="370" spans="1:13" ht="25.5" x14ac:dyDescent="0.2">
      <c r="A370" s="9" t="s">
        <v>100</v>
      </c>
      <c r="B370" s="5" t="s">
        <v>32</v>
      </c>
      <c r="C370" s="162"/>
      <c r="D370" s="162"/>
      <c r="E370" s="163"/>
      <c r="F370" s="163"/>
      <c r="G370" s="163"/>
      <c r="H370" s="8">
        <f t="shared" si="169"/>
        <v>100000</v>
      </c>
      <c r="I370" s="87">
        <f t="shared" si="171"/>
        <v>0</v>
      </c>
      <c r="J370" s="87">
        <f t="shared" si="181"/>
        <v>100000</v>
      </c>
      <c r="K370" s="87">
        <f t="shared" si="181"/>
        <v>0</v>
      </c>
      <c r="L370" s="3"/>
      <c r="M370" s="52"/>
    </row>
    <row r="371" spans="1:13" ht="25.5" x14ac:dyDescent="0.2">
      <c r="A371" s="9" t="s">
        <v>101</v>
      </c>
      <c r="B371" s="5" t="s">
        <v>31</v>
      </c>
      <c r="C371" s="162"/>
      <c r="D371" s="162"/>
      <c r="E371" s="163"/>
      <c r="F371" s="163"/>
      <c r="G371" s="163"/>
      <c r="H371" s="8">
        <f t="shared" si="169"/>
        <v>9900000</v>
      </c>
      <c r="I371" s="87">
        <f t="shared" si="171"/>
        <v>0</v>
      </c>
      <c r="J371" s="87">
        <f t="shared" si="181"/>
        <v>9900000</v>
      </c>
      <c r="K371" s="87">
        <f t="shared" si="181"/>
        <v>0</v>
      </c>
      <c r="L371" s="3"/>
      <c r="M371" s="52"/>
    </row>
    <row r="372" spans="1:13" ht="25.5" x14ac:dyDescent="0.2">
      <c r="A372" s="9" t="s">
        <v>100</v>
      </c>
      <c r="B372" s="5" t="s">
        <v>212</v>
      </c>
      <c r="C372" s="162"/>
      <c r="D372" s="162"/>
      <c r="E372" s="163"/>
      <c r="F372" s="163"/>
      <c r="G372" s="163"/>
      <c r="H372" s="8">
        <f t="shared" si="169"/>
        <v>120000</v>
      </c>
      <c r="I372" s="87">
        <f t="shared" si="171"/>
        <v>0</v>
      </c>
      <c r="J372" s="87">
        <f t="shared" si="181"/>
        <v>120000</v>
      </c>
      <c r="K372" s="87">
        <f t="shared" si="181"/>
        <v>0</v>
      </c>
      <c r="L372" s="3"/>
      <c r="M372" s="52"/>
    </row>
    <row r="373" spans="1:13" ht="25.5" x14ac:dyDescent="0.2">
      <c r="A373" s="9" t="s">
        <v>101</v>
      </c>
      <c r="B373" s="5" t="s">
        <v>33</v>
      </c>
      <c r="C373" s="162"/>
      <c r="D373" s="162"/>
      <c r="E373" s="163"/>
      <c r="F373" s="163"/>
      <c r="G373" s="163"/>
      <c r="H373" s="8">
        <f t="shared" si="169"/>
        <v>11880000</v>
      </c>
      <c r="I373" s="87">
        <f t="shared" si="171"/>
        <v>0</v>
      </c>
      <c r="J373" s="87">
        <f t="shared" si="181"/>
        <v>11880000</v>
      </c>
      <c r="K373" s="87">
        <f t="shared" si="181"/>
        <v>0</v>
      </c>
      <c r="L373" s="3"/>
      <c r="M373" s="52"/>
    </row>
    <row r="374" spans="1:13" ht="25.5" x14ac:dyDescent="0.2">
      <c r="A374" s="100" t="s">
        <v>87</v>
      </c>
      <c r="B374" s="5" t="s">
        <v>44</v>
      </c>
      <c r="C374" s="83"/>
      <c r="D374" s="83"/>
      <c r="E374" s="84"/>
      <c r="F374" s="84"/>
      <c r="G374" s="84"/>
      <c r="H374" s="8">
        <f t="shared" si="169"/>
        <v>3434343.43</v>
      </c>
      <c r="I374" s="87">
        <f t="shared" si="171"/>
        <v>3434343.43</v>
      </c>
      <c r="J374" s="87">
        <f t="shared" si="181"/>
        <v>0</v>
      </c>
      <c r="K374" s="87">
        <f t="shared" si="181"/>
        <v>0</v>
      </c>
      <c r="L374" s="3"/>
      <c r="M374" s="52"/>
    </row>
    <row r="375" spans="1:13" ht="25.5" x14ac:dyDescent="0.2">
      <c r="A375" s="100" t="s">
        <v>88</v>
      </c>
      <c r="B375" s="5" t="s">
        <v>44</v>
      </c>
      <c r="C375" s="83"/>
      <c r="D375" s="83"/>
      <c r="E375" s="84"/>
      <c r="F375" s="84"/>
      <c r="G375" s="84"/>
      <c r="H375" s="8">
        <f t="shared" si="169"/>
        <v>340000000</v>
      </c>
      <c r="I375" s="87">
        <f t="shared" si="171"/>
        <v>340000000</v>
      </c>
      <c r="J375" s="87">
        <f t="shared" si="181"/>
        <v>0</v>
      </c>
      <c r="K375" s="87">
        <f t="shared" si="181"/>
        <v>0</v>
      </c>
      <c r="L375" s="3"/>
      <c r="M375" s="52"/>
    </row>
    <row r="376" spans="1:13" ht="25.5" x14ac:dyDescent="0.2">
      <c r="A376" s="9" t="s">
        <v>81</v>
      </c>
      <c r="B376" s="95" t="s">
        <v>294</v>
      </c>
      <c r="C376" s="83"/>
      <c r="D376" s="83"/>
      <c r="E376" s="84"/>
      <c r="F376" s="84"/>
      <c r="G376" s="84"/>
      <c r="H376" s="8">
        <f t="shared" si="169"/>
        <v>6000000</v>
      </c>
      <c r="I376" s="87">
        <f t="shared" si="171"/>
        <v>6000000</v>
      </c>
      <c r="J376" s="87">
        <f t="shared" si="181"/>
        <v>0</v>
      </c>
      <c r="K376" s="87">
        <f t="shared" si="181"/>
        <v>0</v>
      </c>
      <c r="L376" s="3"/>
      <c r="M376" s="52"/>
    </row>
    <row r="377" spans="1:13" ht="25.5" x14ac:dyDescent="0.2">
      <c r="A377" s="197" t="s">
        <v>186</v>
      </c>
      <c r="B377" s="206" t="s">
        <v>255</v>
      </c>
      <c r="C377" s="83"/>
      <c r="D377" s="83"/>
      <c r="E377" s="84"/>
      <c r="F377" s="84"/>
      <c r="G377" s="84"/>
      <c r="H377" s="8">
        <f t="shared" si="169"/>
        <v>10850423.439999999</v>
      </c>
      <c r="I377" s="87">
        <f t="shared" si="171"/>
        <v>4148078.77</v>
      </c>
      <c r="J377" s="87">
        <f t="shared" si="181"/>
        <v>6702344.6699999999</v>
      </c>
      <c r="K377" s="87">
        <f t="shared" si="181"/>
        <v>0</v>
      </c>
      <c r="L377" s="3"/>
      <c r="M377" s="52"/>
    </row>
    <row r="378" spans="1:13" ht="25.5" x14ac:dyDescent="0.2">
      <c r="A378" s="197" t="s">
        <v>152</v>
      </c>
      <c r="B378" s="206" t="s">
        <v>255</v>
      </c>
      <c r="C378" s="83"/>
      <c r="D378" s="83"/>
      <c r="E378" s="84"/>
      <c r="F378" s="84"/>
      <c r="G378" s="84"/>
      <c r="H378" s="8">
        <f t="shared" si="169"/>
        <v>10741920</v>
      </c>
      <c r="I378" s="87">
        <f t="shared" si="171"/>
        <v>4106598</v>
      </c>
      <c r="J378" s="87">
        <f t="shared" si="181"/>
        <v>6635322</v>
      </c>
      <c r="K378" s="87">
        <f t="shared" si="181"/>
        <v>0</v>
      </c>
      <c r="L378" s="3"/>
      <c r="M378" s="52"/>
    </row>
    <row r="379" spans="1:13" ht="25.5" x14ac:dyDescent="0.2">
      <c r="A379" s="198" t="s">
        <v>213</v>
      </c>
      <c r="B379" s="206" t="s">
        <v>255</v>
      </c>
      <c r="C379" s="83"/>
      <c r="D379" s="83"/>
      <c r="E379" s="84"/>
      <c r="F379" s="84"/>
      <c r="G379" s="84"/>
      <c r="H379" s="8">
        <f t="shared" si="169"/>
        <v>1063450000</v>
      </c>
      <c r="I379" s="87">
        <f t="shared" si="171"/>
        <v>406553200</v>
      </c>
      <c r="J379" s="87">
        <f t="shared" si="181"/>
        <v>656896800</v>
      </c>
      <c r="K379" s="87">
        <f t="shared" si="181"/>
        <v>0</v>
      </c>
      <c r="L379" s="3"/>
      <c r="M379" s="52"/>
    </row>
    <row r="380" spans="1:13" ht="25.5" x14ac:dyDescent="0.2">
      <c r="A380" s="197" t="s">
        <v>143</v>
      </c>
      <c r="B380" s="5" t="s">
        <v>253</v>
      </c>
      <c r="C380" s="83"/>
      <c r="D380" s="83"/>
      <c r="E380" s="84"/>
      <c r="F380" s="84"/>
      <c r="G380" s="84"/>
      <c r="H380" s="8">
        <f t="shared" si="169"/>
        <v>9391885.879999999</v>
      </c>
      <c r="I380" s="87">
        <f t="shared" si="171"/>
        <v>3662106.17</v>
      </c>
      <c r="J380" s="87">
        <f t="shared" si="181"/>
        <v>5729779.71</v>
      </c>
      <c r="K380" s="87">
        <f t="shared" si="181"/>
        <v>0</v>
      </c>
      <c r="L380" s="3"/>
      <c r="M380" s="52"/>
    </row>
    <row r="381" spans="1:13" ht="25.5" x14ac:dyDescent="0.2">
      <c r="A381" s="197" t="s">
        <v>140</v>
      </c>
      <c r="B381" s="5" t="s">
        <v>253</v>
      </c>
      <c r="C381" s="83"/>
      <c r="D381" s="83"/>
      <c r="E381" s="84"/>
      <c r="F381" s="84"/>
      <c r="G381" s="84"/>
      <c r="H381" s="8">
        <f t="shared" si="169"/>
        <v>55787802.130000003</v>
      </c>
      <c r="I381" s="87">
        <f t="shared" si="171"/>
        <v>21752910.640000001</v>
      </c>
      <c r="J381" s="87">
        <f t="shared" si="181"/>
        <v>34034891.490000002</v>
      </c>
      <c r="K381" s="87">
        <f t="shared" si="181"/>
        <v>0</v>
      </c>
      <c r="L381" s="3"/>
      <c r="M381" s="52"/>
    </row>
    <row r="382" spans="1:13" ht="25.5" x14ac:dyDescent="0.2">
      <c r="A382" s="197" t="s">
        <v>141</v>
      </c>
      <c r="B382" s="5" t="s">
        <v>253</v>
      </c>
      <c r="C382" s="83"/>
      <c r="D382" s="83"/>
      <c r="E382" s="84"/>
      <c r="F382" s="84"/>
      <c r="G382" s="84"/>
      <c r="H382" s="8">
        <f t="shared" si="169"/>
        <v>874008900</v>
      </c>
      <c r="I382" s="87">
        <f t="shared" si="171"/>
        <v>340795600</v>
      </c>
      <c r="J382" s="87">
        <f t="shared" si="181"/>
        <v>533213300</v>
      </c>
      <c r="K382" s="87">
        <f t="shared" si="181"/>
        <v>0</v>
      </c>
      <c r="L382" s="3"/>
      <c r="M382" s="52"/>
    </row>
    <row r="383" spans="1:13" ht="25.5" x14ac:dyDescent="0.2">
      <c r="A383" s="197" t="s">
        <v>186</v>
      </c>
      <c r="B383" s="206" t="s">
        <v>421</v>
      </c>
      <c r="C383" s="83"/>
      <c r="D383" s="83"/>
      <c r="E383" s="84"/>
      <c r="F383" s="84"/>
      <c r="G383" s="84"/>
      <c r="H383" s="8">
        <f t="shared" si="169"/>
        <v>2242624.46</v>
      </c>
      <c r="I383" s="87">
        <f t="shared" si="171"/>
        <v>2242624.46</v>
      </c>
      <c r="J383" s="87">
        <f t="shared" ref="J383:K383" si="182">J339</f>
        <v>0</v>
      </c>
      <c r="K383" s="87">
        <f t="shared" si="182"/>
        <v>0</v>
      </c>
      <c r="L383" s="3"/>
      <c r="M383" s="52"/>
    </row>
    <row r="384" spans="1:13" ht="25.5" x14ac:dyDescent="0.2">
      <c r="A384" s="197" t="s">
        <v>143</v>
      </c>
      <c r="B384" s="206" t="s">
        <v>422</v>
      </c>
      <c r="C384" s="83"/>
      <c r="D384" s="83"/>
      <c r="E384" s="84"/>
      <c r="F384" s="84"/>
      <c r="G384" s="84"/>
      <c r="H384" s="8">
        <f t="shared" si="169"/>
        <v>4608111.12</v>
      </c>
      <c r="I384" s="87">
        <f t="shared" si="171"/>
        <v>4608111.12</v>
      </c>
      <c r="J384" s="87">
        <f t="shared" ref="J384:K384" si="183">J340</f>
        <v>0</v>
      </c>
      <c r="K384" s="87">
        <f t="shared" si="183"/>
        <v>0</v>
      </c>
      <c r="L384" s="3"/>
      <c r="M384" s="52"/>
    </row>
    <row r="385" spans="1:13" ht="25.5" x14ac:dyDescent="0.2">
      <c r="A385" s="197" t="s">
        <v>419</v>
      </c>
      <c r="B385" s="206" t="s">
        <v>423</v>
      </c>
      <c r="C385" s="83"/>
      <c r="D385" s="83"/>
      <c r="E385" s="84"/>
      <c r="F385" s="84"/>
      <c r="G385" s="84"/>
      <c r="H385" s="8">
        <f t="shared" si="169"/>
        <v>13583529.5</v>
      </c>
      <c r="I385" s="87">
        <f t="shared" si="171"/>
        <v>1578947.37</v>
      </c>
      <c r="J385" s="87">
        <f t="shared" ref="J385:K385" si="184">J341</f>
        <v>12004582.130000001</v>
      </c>
      <c r="K385" s="87">
        <f t="shared" si="184"/>
        <v>0</v>
      </c>
      <c r="L385" s="3"/>
      <c r="M385" s="52"/>
    </row>
    <row r="386" spans="1:13" ht="25.5" x14ac:dyDescent="0.2">
      <c r="A386" s="197" t="s">
        <v>143</v>
      </c>
      <c r="B386" s="206" t="s">
        <v>391</v>
      </c>
      <c r="C386" s="83"/>
      <c r="D386" s="83"/>
      <c r="E386" s="84"/>
      <c r="F386" s="84"/>
      <c r="G386" s="84"/>
      <c r="H386" s="8">
        <f t="shared" si="169"/>
        <v>39387025.600000001</v>
      </c>
      <c r="I386" s="87">
        <f t="shared" si="171"/>
        <v>39387025.600000001</v>
      </c>
      <c r="J386" s="87">
        <f t="shared" ref="J386:K386" si="185">J342</f>
        <v>0</v>
      </c>
      <c r="K386" s="87">
        <f t="shared" si="185"/>
        <v>0</v>
      </c>
      <c r="L386" s="3"/>
      <c r="M386" s="52"/>
    </row>
    <row r="387" spans="1:13" ht="25.5" x14ac:dyDescent="0.2">
      <c r="A387" s="197" t="s">
        <v>164</v>
      </c>
      <c r="B387" s="5" t="s">
        <v>171</v>
      </c>
      <c r="C387" s="83"/>
      <c r="D387" s="83"/>
      <c r="E387" s="84"/>
      <c r="F387" s="84"/>
      <c r="G387" s="84"/>
      <c r="H387" s="8">
        <f t="shared" si="169"/>
        <v>3601151.52</v>
      </c>
      <c r="I387" s="87">
        <f t="shared" si="171"/>
        <v>0</v>
      </c>
      <c r="J387" s="87">
        <f t="shared" ref="J387:K390" si="186">J343</f>
        <v>1800575.76</v>
      </c>
      <c r="K387" s="87">
        <f t="shared" si="186"/>
        <v>1800575.76</v>
      </c>
      <c r="L387" s="3"/>
      <c r="M387" s="52"/>
    </row>
    <row r="388" spans="1:13" ht="25.5" x14ac:dyDescent="0.2">
      <c r="A388" s="197" t="s">
        <v>166</v>
      </c>
      <c r="B388" s="5" t="s">
        <v>265</v>
      </c>
      <c r="C388" s="83"/>
      <c r="D388" s="83"/>
      <c r="E388" s="84"/>
      <c r="F388" s="84"/>
      <c r="G388" s="84"/>
      <c r="H388" s="8">
        <f t="shared" si="169"/>
        <v>13963505.059999999</v>
      </c>
      <c r="I388" s="87">
        <f t="shared" si="171"/>
        <v>0</v>
      </c>
      <c r="J388" s="87">
        <f t="shared" si="186"/>
        <v>6981752.5299999993</v>
      </c>
      <c r="K388" s="87">
        <f t="shared" si="186"/>
        <v>6981752.5299999993</v>
      </c>
      <c r="L388" s="3"/>
      <c r="M388" s="52"/>
    </row>
    <row r="389" spans="1:13" ht="25.5" x14ac:dyDescent="0.2">
      <c r="A389" s="197" t="s">
        <v>167</v>
      </c>
      <c r="B389" s="5" t="s">
        <v>170</v>
      </c>
      <c r="C389" s="83"/>
      <c r="D389" s="83"/>
      <c r="E389" s="84"/>
      <c r="F389" s="84"/>
      <c r="G389" s="84"/>
      <c r="H389" s="8">
        <f t="shared" si="169"/>
        <v>356514000</v>
      </c>
      <c r="I389" s="87">
        <f t="shared" si="171"/>
        <v>0</v>
      </c>
      <c r="J389" s="87">
        <f t="shared" si="186"/>
        <v>178257000</v>
      </c>
      <c r="K389" s="87">
        <f t="shared" si="186"/>
        <v>178257000</v>
      </c>
      <c r="L389" s="3"/>
      <c r="M389" s="52"/>
    </row>
    <row r="390" spans="1:13" ht="25.5" x14ac:dyDescent="0.2">
      <c r="A390" s="197" t="s">
        <v>169</v>
      </c>
      <c r="B390" s="5" t="s">
        <v>266</v>
      </c>
      <c r="C390" s="119"/>
      <c r="D390" s="119"/>
      <c r="E390" s="120"/>
      <c r="F390" s="120"/>
      <c r="G390" s="120"/>
      <c r="H390" s="8">
        <f t="shared" si="169"/>
        <v>1382387000</v>
      </c>
      <c r="I390" s="8">
        <f t="shared" si="171"/>
        <v>0</v>
      </c>
      <c r="J390" s="8">
        <f t="shared" si="186"/>
        <v>691193500</v>
      </c>
      <c r="K390" s="8">
        <f t="shared" si="186"/>
        <v>691193500</v>
      </c>
      <c r="M390" s="52"/>
    </row>
    <row r="391" spans="1:13" ht="25.5" x14ac:dyDescent="0.2">
      <c r="A391" s="197" t="s">
        <v>416</v>
      </c>
      <c r="B391" s="206" t="s">
        <v>424</v>
      </c>
      <c r="C391" s="119"/>
      <c r="D391" s="119"/>
      <c r="E391" s="120"/>
      <c r="F391" s="120"/>
      <c r="G391" s="120"/>
      <c r="H391" s="8">
        <f t="shared" si="169"/>
        <v>1363357</v>
      </c>
      <c r="I391" s="8">
        <f t="shared" si="171"/>
        <v>192496</v>
      </c>
      <c r="J391" s="8">
        <f t="shared" ref="J391:K391" si="187">J347</f>
        <v>1170861</v>
      </c>
      <c r="K391" s="8">
        <f t="shared" si="187"/>
        <v>0</v>
      </c>
      <c r="M391" s="52"/>
    </row>
    <row r="392" spans="1:13" ht="25.5" x14ac:dyDescent="0.2">
      <c r="A392" s="197" t="s">
        <v>372</v>
      </c>
      <c r="B392" s="206" t="s">
        <v>365</v>
      </c>
      <c r="C392" s="119"/>
      <c r="D392" s="119"/>
      <c r="E392" s="120"/>
      <c r="F392" s="120"/>
      <c r="G392" s="120"/>
      <c r="H392" s="8">
        <f t="shared" si="169"/>
        <v>150000</v>
      </c>
      <c r="I392" s="8">
        <f t="shared" si="171"/>
        <v>150000</v>
      </c>
      <c r="J392" s="8">
        <f t="shared" ref="J392:K392" si="188">J348</f>
        <v>0</v>
      </c>
      <c r="K392" s="8">
        <f t="shared" si="188"/>
        <v>0</v>
      </c>
      <c r="M392" s="52"/>
    </row>
    <row r="393" spans="1:13" ht="25.5" x14ac:dyDescent="0.2">
      <c r="A393" s="197" t="s">
        <v>372</v>
      </c>
      <c r="B393" s="206" t="s">
        <v>378</v>
      </c>
      <c r="C393" s="119"/>
      <c r="D393" s="119"/>
      <c r="E393" s="120"/>
      <c r="F393" s="120"/>
      <c r="G393" s="120"/>
      <c r="H393" s="8">
        <f t="shared" si="169"/>
        <v>5146688.42</v>
      </c>
      <c r="I393" s="8">
        <f t="shared" si="171"/>
        <v>5146688.42</v>
      </c>
      <c r="J393" s="8">
        <f t="shared" ref="J393:K393" si="189">J349</f>
        <v>0</v>
      </c>
      <c r="K393" s="8">
        <f t="shared" si="189"/>
        <v>0</v>
      </c>
      <c r="M393" s="52"/>
    </row>
    <row r="394" spans="1:13" ht="25.5" x14ac:dyDescent="0.2">
      <c r="A394" s="197" t="s">
        <v>392</v>
      </c>
      <c r="B394" s="206" t="s">
        <v>393</v>
      </c>
      <c r="C394" s="119"/>
      <c r="D394" s="119"/>
      <c r="E394" s="120"/>
      <c r="F394" s="120"/>
      <c r="G394" s="120"/>
      <c r="H394" s="8">
        <f t="shared" si="169"/>
        <v>85861.54</v>
      </c>
      <c r="I394" s="8">
        <f t="shared" si="171"/>
        <v>85861.54</v>
      </c>
      <c r="J394" s="8">
        <f t="shared" ref="J394:K394" si="190">J350</f>
        <v>0</v>
      </c>
      <c r="K394" s="8">
        <f t="shared" si="190"/>
        <v>0</v>
      </c>
      <c r="M394" s="52"/>
    </row>
    <row r="395" spans="1:13" ht="25.5" x14ac:dyDescent="0.2">
      <c r="A395" s="9" t="s">
        <v>9</v>
      </c>
      <c r="B395" s="5" t="s">
        <v>34</v>
      </c>
      <c r="C395" s="119"/>
      <c r="D395" s="119"/>
      <c r="E395" s="120"/>
      <c r="F395" s="120"/>
      <c r="G395" s="120"/>
      <c r="H395" s="8">
        <f t="shared" si="169"/>
        <v>2424242.4299999997</v>
      </c>
      <c r="I395" s="8">
        <f t="shared" ref="I395:I396" si="191">I351</f>
        <v>606060.61</v>
      </c>
      <c r="J395" s="8">
        <f>J351</f>
        <v>606060.61</v>
      </c>
      <c r="K395" s="8">
        <f>K351</f>
        <v>1212121.21</v>
      </c>
      <c r="M395" s="52"/>
    </row>
    <row r="396" spans="1:13" ht="26.25" thickBot="1" x14ac:dyDescent="0.25">
      <c r="A396" s="9" t="s">
        <v>10</v>
      </c>
      <c r="B396" s="5" t="s">
        <v>34</v>
      </c>
      <c r="C396" s="119"/>
      <c r="D396" s="119"/>
      <c r="E396" s="120"/>
      <c r="F396" s="120"/>
      <c r="G396" s="120"/>
      <c r="H396" s="8">
        <f t="shared" si="169"/>
        <v>240000000</v>
      </c>
      <c r="I396" s="8">
        <f t="shared" si="191"/>
        <v>60000000</v>
      </c>
      <c r="J396" s="8">
        <f>J352</f>
        <v>60000000</v>
      </c>
      <c r="K396" s="8">
        <f>K352</f>
        <v>120000000</v>
      </c>
      <c r="M396" s="52"/>
    </row>
    <row r="397" spans="1:13" ht="24.75" customHeight="1" thickBot="1" x14ac:dyDescent="0.25">
      <c r="A397" s="424" t="s">
        <v>58</v>
      </c>
      <c r="B397" s="424"/>
      <c r="C397" s="424"/>
      <c r="D397" s="424"/>
      <c r="E397" s="424"/>
      <c r="F397" s="424"/>
      <c r="G397" s="424"/>
      <c r="H397" s="424"/>
      <c r="I397" s="424"/>
      <c r="J397" s="424"/>
      <c r="K397" s="424"/>
      <c r="L397" s="52"/>
      <c r="M397" s="52"/>
    </row>
    <row r="398" spans="1:13" ht="24" customHeight="1" thickBot="1" x14ac:dyDescent="0.25">
      <c r="A398" s="434" t="s">
        <v>59</v>
      </c>
      <c r="B398" s="434"/>
      <c r="C398" s="434"/>
      <c r="D398" s="434"/>
      <c r="E398" s="434"/>
      <c r="F398" s="434"/>
      <c r="G398" s="434"/>
      <c r="H398" s="434"/>
      <c r="I398" s="434"/>
      <c r="J398" s="434"/>
      <c r="K398" s="434"/>
      <c r="L398" s="52"/>
      <c r="M398" s="52"/>
    </row>
    <row r="399" spans="1:13" ht="66" customHeight="1" thickBot="1" x14ac:dyDescent="0.25">
      <c r="A399" s="302" t="s">
        <v>13</v>
      </c>
      <c r="B399" s="303"/>
      <c r="C399" s="304"/>
      <c r="D399" s="304"/>
      <c r="E399" s="305"/>
      <c r="F399" s="305"/>
      <c r="G399" s="305"/>
      <c r="H399" s="298">
        <f>I399+J399+K399</f>
        <v>279815964</v>
      </c>
      <c r="I399" s="298">
        <f>I400+I404</f>
        <v>68391564</v>
      </c>
      <c r="J399" s="298">
        <f t="shared" ref="J399:K399" si="192">J400</f>
        <v>101483712</v>
      </c>
      <c r="K399" s="298">
        <f t="shared" si="192"/>
        <v>109940688</v>
      </c>
      <c r="L399" s="54"/>
      <c r="M399" s="52"/>
    </row>
    <row r="400" spans="1:13" ht="93.75" customHeight="1" x14ac:dyDescent="0.2">
      <c r="A400" s="251" t="s">
        <v>49</v>
      </c>
      <c r="B400" s="306" t="s">
        <v>131</v>
      </c>
      <c r="C400" s="307" t="s">
        <v>244</v>
      </c>
      <c r="D400" s="307" t="s">
        <v>245</v>
      </c>
      <c r="E400" s="292">
        <v>276965964</v>
      </c>
      <c r="F400" s="292"/>
      <c r="G400" s="292">
        <f>E400-F400</f>
        <v>276965964</v>
      </c>
      <c r="H400" s="292">
        <f t="shared" ref="H400:H410" si="193">I400+J400+K400</f>
        <v>276965964</v>
      </c>
      <c r="I400" s="292">
        <f>SUM(I401:I403)</f>
        <v>65541564</v>
      </c>
      <c r="J400" s="292">
        <f>SUM(J401:J403)</f>
        <v>101483712</v>
      </c>
      <c r="K400" s="292">
        <f>SUM(K401:K403)</f>
        <v>109940688</v>
      </c>
      <c r="L400" s="52"/>
      <c r="M400" s="52"/>
    </row>
    <row r="401" spans="1:14" ht="25.5" x14ac:dyDescent="0.2">
      <c r="A401" s="197" t="s">
        <v>50</v>
      </c>
      <c r="B401" s="300" t="s">
        <v>51</v>
      </c>
      <c r="C401" s="308"/>
      <c r="D401" s="308"/>
      <c r="E401" s="261"/>
      <c r="F401" s="261"/>
      <c r="G401" s="261"/>
      <c r="H401" s="261">
        <f>SUM(I401:K401)</f>
        <v>44674214.600000001</v>
      </c>
      <c r="I401" s="261">
        <v>10571219.99</v>
      </c>
      <c r="J401" s="261">
        <v>16106763.140000001</v>
      </c>
      <c r="K401" s="261">
        <v>17996231.469999999</v>
      </c>
      <c r="L401" s="52"/>
      <c r="M401" s="52"/>
      <c r="N401" s="52"/>
    </row>
    <row r="402" spans="1:14" ht="39" customHeight="1" x14ac:dyDescent="0.2">
      <c r="A402" s="197" t="s">
        <v>50</v>
      </c>
      <c r="B402" s="300" t="s">
        <v>84</v>
      </c>
      <c r="C402" s="308"/>
      <c r="D402" s="308"/>
      <c r="E402" s="261"/>
      <c r="F402" s="261"/>
      <c r="G402" s="261"/>
      <c r="H402" s="261">
        <f t="shared" ref="H402:H403" si="194">SUM(I402:K402)</f>
        <v>13937504.99</v>
      </c>
      <c r="I402" s="261">
        <v>3298220.65</v>
      </c>
      <c r="J402" s="261">
        <v>5122616.9400000004</v>
      </c>
      <c r="K402" s="261">
        <v>5516667.4000000004</v>
      </c>
      <c r="L402" s="52"/>
      <c r="M402" s="52"/>
      <c r="N402" s="52"/>
    </row>
    <row r="403" spans="1:14" ht="38.25" x14ac:dyDescent="0.2">
      <c r="A403" s="338" t="s">
        <v>52</v>
      </c>
      <c r="B403" s="399" t="s">
        <v>53</v>
      </c>
      <c r="C403" s="400"/>
      <c r="D403" s="400"/>
      <c r="E403" s="316"/>
      <c r="F403" s="316"/>
      <c r="G403" s="316"/>
      <c r="H403" s="316">
        <f t="shared" si="194"/>
        <v>218354244.41</v>
      </c>
      <c r="I403" s="316">
        <v>51672123.359999999</v>
      </c>
      <c r="J403" s="316">
        <v>80254331.920000002</v>
      </c>
      <c r="K403" s="316">
        <v>86427789.129999995</v>
      </c>
      <c r="L403" s="52"/>
      <c r="M403" s="52"/>
      <c r="N403" s="52"/>
    </row>
    <row r="404" spans="1:14" ht="51" x14ac:dyDescent="0.2">
      <c r="A404" s="401" t="s">
        <v>434</v>
      </c>
      <c r="B404" s="150" t="s">
        <v>131</v>
      </c>
      <c r="C404" s="11" t="s">
        <v>435</v>
      </c>
      <c r="D404" s="11" t="s">
        <v>128</v>
      </c>
      <c r="E404" s="8">
        <v>2850000</v>
      </c>
      <c r="F404" s="8"/>
      <c r="G404" s="8">
        <f>E404</f>
        <v>2850000</v>
      </c>
      <c r="H404" s="8">
        <f>I404+J404+K404</f>
        <v>2850000</v>
      </c>
      <c r="I404" s="8">
        <f>SUM(I405)</f>
        <v>2850000</v>
      </c>
      <c r="J404" s="8">
        <f>SUM(J405)</f>
        <v>0</v>
      </c>
      <c r="K404" s="8">
        <f>SUM(K405)</f>
        <v>0</v>
      </c>
      <c r="L404" s="52"/>
      <c r="M404" s="52"/>
      <c r="N404" s="52"/>
    </row>
    <row r="405" spans="1:14" ht="26.25" thickBot="1" x14ac:dyDescent="0.25">
      <c r="A405" s="90" t="s">
        <v>436</v>
      </c>
      <c r="B405" s="96" t="s">
        <v>437</v>
      </c>
      <c r="C405" s="12"/>
      <c r="D405" s="12"/>
      <c r="E405" s="13"/>
      <c r="F405" s="13"/>
      <c r="G405" s="13"/>
      <c r="H405" s="13">
        <f>I405+J405+K405</f>
        <v>2850000</v>
      </c>
      <c r="I405" s="13">
        <v>2850000</v>
      </c>
      <c r="J405" s="13"/>
      <c r="K405" s="13"/>
      <c r="L405" s="52"/>
      <c r="M405" s="52"/>
      <c r="N405" s="52"/>
    </row>
    <row r="406" spans="1:14" ht="25.5" customHeight="1" thickBot="1" x14ac:dyDescent="0.25">
      <c r="A406" s="425" t="s">
        <v>14</v>
      </c>
      <c r="B406" s="426"/>
      <c r="C406" s="297"/>
      <c r="D406" s="297"/>
      <c r="E406" s="297"/>
      <c r="F406" s="297"/>
      <c r="G406" s="297"/>
      <c r="H406" s="298">
        <f t="shared" si="193"/>
        <v>279815964</v>
      </c>
      <c r="I406" s="298">
        <f>SUM(I407:I410)</f>
        <v>68391564</v>
      </c>
      <c r="J406" s="298">
        <f>SUM(J407:J409)</f>
        <v>101483712</v>
      </c>
      <c r="K406" s="298">
        <f>SUM(K407:K409)</f>
        <v>109940688</v>
      </c>
      <c r="L406" s="52"/>
      <c r="M406" s="52"/>
    </row>
    <row r="407" spans="1:14" ht="25.5" x14ac:dyDescent="0.2">
      <c r="A407" s="198" t="s">
        <v>50</v>
      </c>
      <c r="B407" s="299">
        <v>9253</v>
      </c>
      <c r="C407" s="251"/>
      <c r="D407" s="251"/>
      <c r="E407" s="251"/>
      <c r="F407" s="251"/>
      <c r="G407" s="251"/>
      <c r="H407" s="292">
        <f t="shared" si="193"/>
        <v>44674214.600000001</v>
      </c>
      <c r="I407" s="292">
        <f t="shared" ref="I407:K409" si="195">I401</f>
        <v>10571219.99</v>
      </c>
      <c r="J407" s="292">
        <f t="shared" si="195"/>
        <v>16106763.140000001</v>
      </c>
      <c r="K407" s="292">
        <f t="shared" si="195"/>
        <v>17996231.469999999</v>
      </c>
      <c r="L407" s="52"/>
      <c r="M407" s="52"/>
    </row>
    <row r="408" spans="1:14" ht="25.5" x14ac:dyDescent="0.2">
      <c r="A408" s="197" t="s">
        <v>50</v>
      </c>
      <c r="B408" s="300" t="s">
        <v>85</v>
      </c>
      <c r="C408" s="301"/>
      <c r="D408" s="301"/>
      <c r="E408" s="301"/>
      <c r="F408" s="301"/>
      <c r="G408" s="301"/>
      <c r="H408" s="261">
        <f t="shared" si="193"/>
        <v>13937504.99</v>
      </c>
      <c r="I408" s="261">
        <f t="shared" si="195"/>
        <v>3298220.65</v>
      </c>
      <c r="J408" s="261">
        <f t="shared" si="195"/>
        <v>5122616.9400000004</v>
      </c>
      <c r="K408" s="261">
        <f t="shared" si="195"/>
        <v>5516667.4000000004</v>
      </c>
      <c r="L408" s="52"/>
      <c r="M408" s="52"/>
    </row>
    <row r="409" spans="1:14" ht="25.5" x14ac:dyDescent="0.2">
      <c r="A409" s="197" t="s">
        <v>52</v>
      </c>
      <c r="B409" s="300" t="s">
        <v>54</v>
      </c>
      <c r="C409" s="301"/>
      <c r="D409" s="301"/>
      <c r="E409" s="301"/>
      <c r="F409" s="301"/>
      <c r="G409" s="301"/>
      <c r="H409" s="261">
        <f t="shared" si="193"/>
        <v>218354244.41</v>
      </c>
      <c r="I409" s="261">
        <f t="shared" si="195"/>
        <v>51672123.359999999</v>
      </c>
      <c r="J409" s="261">
        <f t="shared" si="195"/>
        <v>80254331.920000002</v>
      </c>
      <c r="K409" s="261">
        <f t="shared" si="195"/>
        <v>86427789.129999995</v>
      </c>
      <c r="L409" s="52"/>
      <c r="M409" s="52"/>
    </row>
    <row r="410" spans="1:14" ht="26.25" thickBot="1" x14ac:dyDescent="0.25">
      <c r="A410" s="199" t="s">
        <v>436</v>
      </c>
      <c r="B410" s="340" t="s">
        <v>437</v>
      </c>
      <c r="C410" s="374"/>
      <c r="D410" s="374"/>
      <c r="E410" s="374"/>
      <c r="F410" s="374"/>
      <c r="G410" s="374"/>
      <c r="H410" s="261">
        <f t="shared" si="193"/>
        <v>2850000</v>
      </c>
      <c r="I410" s="262">
        <f>I405</f>
        <v>2850000</v>
      </c>
      <c r="J410" s="262">
        <f t="shared" ref="J410:K410" si="196">J405</f>
        <v>0</v>
      </c>
      <c r="K410" s="262">
        <f t="shared" si="196"/>
        <v>0</v>
      </c>
      <c r="L410" s="52"/>
      <c r="M410" s="52"/>
    </row>
    <row r="411" spans="1:14" ht="26.25" customHeight="1" thickBot="1" x14ac:dyDescent="0.25">
      <c r="A411" s="417" t="s">
        <v>60</v>
      </c>
      <c r="B411" s="417"/>
      <c r="C411" s="417"/>
      <c r="D411" s="417"/>
      <c r="E411" s="417"/>
      <c r="F411" s="417"/>
      <c r="G411" s="417"/>
      <c r="H411" s="417"/>
      <c r="I411" s="417"/>
      <c r="J411" s="417"/>
      <c r="K411" s="417"/>
      <c r="L411" s="52"/>
      <c r="M411" s="52"/>
    </row>
    <row r="412" spans="1:14" ht="51.75" thickBot="1" x14ac:dyDescent="0.25">
      <c r="A412" s="10" t="s">
        <v>55</v>
      </c>
      <c r="B412" s="147"/>
      <c r="C412" s="147"/>
      <c r="D412" s="147"/>
      <c r="E412" s="182"/>
      <c r="F412" s="182"/>
      <c r="G412" s="182"/>
      <c r="H412" s="149">
        <f t="shared" ref="H412:H434" si="197">I412+J412+K412</f>
        <v>383000302.36000001</v>
      </c>
      <c r="I412" s="149">
        <f t="shared" ref="I412:K413" si="198">I413</f>
        <v>383000302.36000001</v>
      </c>
      <c r="J412" s="149">
        <f t="shared" si="198"/>
        <v>0</v>
      </c>
      <c r="K412" s="149">
        <f t="shared" si="198"/>
        <v>0</v>
      </c>
      <c r="L412" s="52"/>
      <c r="M412" s="52"/>
    </row>
    <row r="413" spans="1:14" ht="42" customHeight="1" thickBot="1" x14ac:dyDescent="0.25">
      <c r="A413" s="10" t="s">
        <v>7</v>
      </c>
      <c r="B413" s="147"/>
      <c r="C413" s="147"/>
      <c r="D413" s="147"/>
      <c r="E413" s="182"/>
      <c r="F413" s="182"/>
      <c r="G413" s="182"/>
      <c r="H413" s="149">
        <f t="shared" si="197"/>
        <v>383000302.36000001</v>
      </c>
      <c r="I413" s="149">
        <f t="shared" si="198"/>
        <v>383000302.36000001</v>
      </c>
      <c r="J413" s="149">
        <f t="shared" si="198"/>
        <v>0</v>
      </c>
      <c r="K413" s="149">
        <f t="shared" si="198"/>
        <v>0</v>
      </c>
      <c r="L413" s="52"/>
      <c r="M413" s="52"/>
    </row>
    <row r="414" spans="1:14" ht="26.25" thickBot="1" x14ac:dyDescent="0.25">
      <c r="A414" s="209" t="s">
        <v>89</v>
      </c>
      <c r="B414" s="147"/>
      <c r="C414" s="147"/>
      <c r="D414" s="147"/>
      <c r="E414" s="182"/>
      <c r="F414" s="182"/>
      <c r="G414" s="182"/>
      <c r="H414" s="183">
        <f t="shared" si="197"/>
        <v>383000302.36000001</v>
      </c>
      <c r="I414" s="183">
        <f>I415+I418</f>
        <v>383000302.36000001</v>
      </c>
      <c r="J414" s="183">
        <f>J415+J418</f>
        <v>0</v>
      </c>
      <c r="K414" s="183">
        <f>K415+K418</f>
        <v>0</v>
      </c>
      <c r="L414" s="52"/>
      <c r="M414" s="52"/>
    </row>
    <row r="415" spans="1:14" ht="89.25" x14ac:dyDescent="0.2">
      <c r="A415" s="189" t="s">
        <v>35</v>
      </c>
      <c r="B415" s="89" t="s">
        <v>139</v>
      </c>
      <c r="C415" s="89" t="s">
        <v>192</v>
      </c>
      <c r="D415" s="89" t="s">
        <v>128</v>
      </c>
      <c r="E415" s="108">
        <v>836262626.70000005</v>
      </c>
      <c r="F415" s="264">
        <v>467144750</v>
      </c>
      <c r="G415" s="264">
        <f>E415-F415</f>
        <v>369117876.70000005</v>
      </c>
      <c r="H415" s="292">
        <f t="shared" si="197"/>
        <v>155028182.35999998</v>
      </c>
      <c r="I415" s="292">
        <f>SUM(I416:I417)</f>
        <v>155028182.35999998</v>
      </c>
      <c r="J415" s="292">
        <f>SUM(J416:J417)</f>
        <v>0</v>
      </c>
      <c r="K415" s="81">
        <f>SUM(K416:K417)</f>
        <v>0</v>
      </c>
      <c r="L415" s="52"/>
      <c r="M415" s="52"/>
    </row>
    <row r="416" spans="1:14" ht="25.5" x14ac:dyDescent="0.2">
      <c r="A416" s="100" t="s">
        <v>38</v>
      </c>
      <c r="B416" s="185" t="s">
        <v>438</v>
      </c>
      <c r="C416" s="114"/>
      <c r="D416" s="114"/>
      <c r="E416" s="109"/>
      <c r="F416" s="309"/>
      <c r="G416" s="309"/>
      <c r="H416" s="261">
        <f t="shared" si="197"/>
        <v>1550281.82</v>
      </c>
      <c r="I416" s="261">
        <v>1550281.82</v>
      </c>
      <c r="J416" s="261"/>
      <c r="K416" s="87"/>
      <c r="L416" s="52"/>
      <c r="M416" s="52"/>
    </row>
    <row r="417" spans="1:13" ht="26.25" thickBot="1" x14ac:dyDescent="0.25">
      <c r="A417" s="90" t="s">
        <v>37</v>
      </c>
      <c r="B417" s="186" t="s">
        <v>439</v>
      </c>
      <c r="C417" s="133"/>
      <c r="D417" s="133"/>
      <c r="E417" s="123"/>
      <c r="F417" s="275"/>
      <c r="G417" s="275"/>
      <c r="H417" s="263">
        <f t="shared" si="197"/>
        <v>153477900.53999999</v>
      </c>
      <c r="I417" s="263">
        <v>153477900.53999999</v>
      </c>
      <c r="J417" s="263"/>
      <c r="K417" s="88"/>
      <c r="L417" s="52"/>
      <c r="M417" s="52"/>
    </row>
    <row r="418" spans="1:13" ht="96" customHeight="1" x14ac:dyDescent="0.2">
      <c r="A418" s="94" t="s">
        <v>36</v>
      </c>
      <c r="B418" s="89" t="s">
        <v>119</v>
      </c>
      <c r="C418" s="89" t="s">
        <v>75</v>
      </c>
      <c r="D418" s="89" t="s">
        <v>128</v>
      </c>
      <c r="E418" s="108">
        <v>556363636.36000001</v>
      </c>
      <c r="F418" s="264">
        <v>1659995</v>
      </c>
      <c r="G418" s="264">
        <f>E418-F418</f>
        <v>554703641.36000001</v>
      </c>
      <c r="H418" s="292">
        <f t="shared" si="197"/>
        <v>227972120</v>
      </c>
      <c r="I418" s="292">
        <f>SUM(I419:I420)</f>
        <v>227972120</v>
      </c>
      <c r="J418" s="292">
        <f>SUM(J419:J420)</f>
        <v>0</v>
      </c>
      <c r="K418" s="81">
        <f>SUM(K419:K420)</f>
        <v>0</v>
      </c>
      <c r="L418" s="52"/>
      <c r="M418" s="52"/>
    </row>
    <row r="419" spans="1:13" ht="25.5" x14ac:dyDescent="0.2">
      <c r="A419" s="130" t="s">
        <v>38</v>
      </c>
      <c r="B419" s="190" t="s">
        <v>440</v>
      </c>
      <c r="C419" s="159"/>
      <c r="D419" s="159"/>
      <c r="E419" s="157"/>
      <c r="F419" s="205"/>
      <c r="G419" s="205"/>
      <c r="H419" s="293">
        <f t="shared" si="197"/>
        <v>2279721.2000000002</v>
      </c>
      <c r="I419" s="293">
        <v>2279721.2000000002</v>
      </c>
      <c r="J419" s="293"/>
      <c r="K419" s="98"/>
      <c r="L419" s="52"/>
      <c r="M419" s="52"/>
    </row>
    <row r="420" spans="1:13" ht="26.25" thickBot="1" x14ac:dyDescent="0.25">
      <c r="A420" s="90" t="s">
        <v>37</v>
      </c>
      <c r="B420" s="186" t="s">
        <v>441</v>
      </c>
      <c r="C420" s="133"/>
      <c r="D420" s="133"/>
      <c r="E420" s="123"/>
      <c r="F420" s="275"/>
      <c r="G420" s="275"/>
      <c r="H420" s="263">
        <f t="shared" si="197"/>
        <v>225692398.80000001</v>
      </c>
      <c r="I420" s="263">
        <v>225692398.80000001</v>
      </c>
      <c r="J420" s="263"/>
      <c r="K420" s="88"/>
      <c r="L420" s="52"/>
      <c r="M420" s="52"/>
    </row>
    <row r="421" spans="1:13" ht="26.25" customHeight="1" thickBot="1" x14ac:dyDescent="0.25">
      <c r="A421" s="427" t="s">
        <v>56</v>
      </c>
      <c r="B421" s="428"/>
      <c r="C421" s="188"/>
      <c r="D421" s="188"/>
      <c r="E421" s="63"/>
      <c r="F421" s="63"/>
      <c r="G421" s="63"/>
      <c r="H421" s="63">
        <f t="shared" si="197"/>
        <v>383000302.36000001</v>
      </c>
      <c r="I421" s="63">
        <f>SUM(I422:I425)</f>
        <v>383000302.36000001</v>
      </c>
      <c r="J421" s="63">
        <f>SUM(J422:J425)</f>
        <v>0</v>
      </c>
      <c r="K421" s="62">
        <f>SUM(K422:K425)</f>
        <v>0</v>
      </c>
      <c r="L421" s="52"/>
      <c r="M421" s="52"/>
    </row>
    <row r="422" spans="1:13" ht="25.5" x14ac:dyDescent="0.2">
      <c r="A422" s="191" t="s">
        <v>38</v>
      </c>
      <c r="B422" s="210" t="s">
        <v>4</v>
      </c>
      <c r="C422" s="89"/>
      <c r="D422" s="89"/>
      <c r="E422" s="108"/>
      <c r="F422" s="108"/>
      <c r="G422" s="108"/>
      <c r="H422" s="81">
        <f t="shared" si="197"/>
        <v>1550281.82</v>
      </c>
      <c r="I422" s="81">
        <f>I416</f>
        <v>1550281.82</v>
      </c>
      <c r="J422" s="81">
        <f>J416</f>
        <v>0</v>
      </c>
      <c r="K422" s="81">
        <f>K416</f>
        <v>0</v>
      </c>
      <c r="L422" s="52"/>
      <c r="M422" s="52"/>
    </row>
    <row r="423" spans="1:13" ht="25.5" x14ac:dyDescent="0.2">
      <c r="A423" s="100" t="s">
        <v>38</v>
      </c>
      <c r="B423" s="196" t="s">
        <v>5</v>
      </c>
      <c r="C423" s="114"/>
      <c r="D423" s="114"/>
      <c r="E423" s="109"/>
      <c r="F423" s="109"/>
      <c r="G423" s="109"/>
      <c r="H423" s="87">
        <f t="shared" si="197"/>
        <v>2279721.2000000002</v>
      </c>
      <c r="I423" s="87">
        <f>I419</f>
        <v>2279721.2000000002</v>
      </c>
      <c r="J423" s="87">
        <f>J419</f>
        <v>0</v>
      </c>
      <c r="K423" s="87">
        <f>K419</f>
        <v>0</v>
      </c>
      <c r="L423" s="52"/>
      <c r="M423" s="52"/>
    </row>
    <row r="424" spans="1:13" ht="25.5" x14ac:dyDescent="0.2">
      <c r="A424" s="100" t="s">
        <v>37</v>
      </c>
      <c r="B424" s="196" t="s">
        <v>4</v>
      </c>
      <c r="C424" s="114"/>
      <c r="D424" s="114"/>
      <c r="E424" s="109"/>
      <c r="F424" s="109"/>
      <c r="G424" s="109"/>
      <c r="H424" s="98">
        <f t="shared" si="197"/>
        <v>153477900.53999999</v>
      </c>
      <c r="I424" s="87">
        <f>I417</f>
        <v>153477900.53999999</v>
      </c>
      <c r="J424" s="87">
        <f>J417</f>
        <v>0</v>
      </c>
      <c r="K424" s="87">
        <f>K417</f>
        <v>0</v>
      </c>
      <c r="L424" s="52"/>
      <c r="M424" s="52"/>
    </row>
    <row r="425" spans="1:13" ht="26.25" thickBot="1" x14ac:dyDescent="0.25">
      <c r="A425" s="130" t="s">
        <v>37</v>
      </c>
      <c r="B425" s="196" t="s">
        <v>5</v>
      </c>
      <c r="C425" s="148"/>
      <c r="D425" s="148"/>
      <c r="E425" s="140"/>
      <c r="F425" s="140"/>
      <c r="G425" s="140"/>
      <c r="H425" s="106">
        <f t="shared" si="197"/>
        <v>225692398.80000001</v>
      </c>
      <c r="I425" s="106">
        <f>I420</f>
        <v>225692398.80000001</v>
      </c>
      <c r="J425" s="106">
        <f>J420</f>
        <v>0</v>
      </c>
      <c r="K425" s="106">
        <f>K420</f>
        <v>0</v>
      </c>
      <c r="L425" s="52"/>
      <c r="M425" s="52"/>
    </row>
    <row r="426" spans="1:13" ht="17.25" customHeight="1" thickBot="1" x14ac:dyDescent="0.25">
      <c r="A426" s="413" t="s">
        <v>14</v>
      </c>
      <c r="B426" s="415"/>
      <c r="C426" s="141"/>
      <c r="D426" s="141"/>
      <c r="E426" s="141"/>
      <c r="F426" s="141"/>
      <c r="G426" s="141"/>
      <c r="H426" s="131">
        <f t="shared" si="197"/>
        <v>662816266.36000001</v>
      </c>
      <c r="I426" s="131">
        <f>SUM(I427:I434)</f>
        <v>451391866.36000001</v>
      </c>
      <c r="J426" s="131">
        <f>SUM(J427:J434)</f>
        <v>101483712</v>
      </c>
      <c r="K426" s="131">
        <f>SUM(K427:K434)</f>
        <v>109940688</v>
      </c>
      <c r="L426" s="77"/>
      <c r="M426" s="52"/>
    </row>
    <row r="427" spans="1:13" ht="26.25" customHeight="1" x14ac:dyDescent="0.2">
      <c r="A427" s="164" t="s">
        <v>50</v>
      </c>
      <c r="B427" s="184">
        <v>9253</v>
      </c>
      <c r="C427" s="32"/>
      <c r="D427" s="32"/>
      <c r="E427" s="33"/>
      <c r="F427" s="33"/>
      <c r="G427" s="33"/>
      <c r="H427" s="81">
        <f t="shared" si="197"/>
        <v>44674214.600000001</v>
      </c>
      <c r="I427" s="33">
        <f t="shared" ref="I427:K429" si="199">I407</f>
        <v>10571219.99</v>
      </c>
      <c r="J427" s="33">
        <f t="shared" si="199"/>
        <v>16106763.140000001</v>
      </c>
      <c r="K427" s="33">
        <f t="shared" si="199"/>
        <v>17996231.469999999</v>
      </c>
      <c r="L427" s="52"/>
      <c r="M427" s="52"/>
    </row>
    <row r="428" spans="1:13" ht="26.25" customHeight="1" x14ac:dyDescent="0.2">
      <c r="A428" s="100" t="s">
        <v>50</v>
      </c>
      <c r="B428" s="150" t="s">
        <v>85</v>
      </c>
      <c r="C428" s="11"/>
      <c r="D428" s="11"/>
      <c r="E428" s="8"/>
      <c r="F428" s="8"/>
      <c r="G428" s="8"/>
      <c r="H428" s="98">
        <f t="shared" si="197"/>
        <v>13937504.99</v>
      </c>
      <c r="I428" s="8">
        <f t="shared" si="199"/>
        <v>3298220.65</v>
      </c>
      <c r="J428" s="8">
        <f t="shared" si="199"/>
        <v>5122616.9400000004</v>
      </c>
      <c r="K428" s="8">
        <f t="shared" si="199"/>
        <v>5516667.4000000004</v>
      </c>
      <c r="L428" s="52"/>
      <c r="M428" s="52"/>
    </row>
    <row r="429" spans="1:13" ht="25.5" customHeight="1" x14ac:dyDescent="0.2">
      <c r="A429" s="9" t="s">
        <v>52</v>
      </c>
      <c r="B429" s="150" t="s">
        <v>54</v>
      </c>
      <c r="C429" s="11"/>
      <c r="D429" s="11"/>
      <c r="E429" s="8"/>
      <c r="F429" s="8"/>
      <c r="G429" s="8"/>
      <c r="H429" s="87">
        <f t="shared" si="197"/>
        <v>218354244.41</v>
      </c>
      <c r="I429" s="8">
        <f t="shared" si="199"/>
        <v>51672123.359999999</v>
      </c>
      <c r="J429" s="8">
        <f t="shared" si="199"/>
        <v>80254331.920000002</v>
      </c>
      <c r="K429" s="8">
        <f t="shared" si="199"/>
        <v>86427789.129999995</v>
      </c>
      <c r="L429" s="52"/>
      <c r="M429" s="52"/>
    </row>
    <row r="430" spans="1:13" ht="25.5" customHeight="1" x14ac:dyDescent="0.2">
      <c r="A430" s="197" t="s">
        <v>436</v>
      </c>
      <c r="B430" s="206" t="s">
        <v>437</v>
      </c>
      <c r="C430" s="11"/>
      <c r="D430" s="11"/>
      <c r="E430" s="8"/>
      <c r="F430" s="8"/>
      <c r="G430" s="8"/>
      <c r="H430" s="87">
        <f t="shared" si="197"/>
        <v>2850000</v>
      </c>
      <c r="I430" s="8">
        <f>I410</f>
        <v>2850000</v>
      </c>
      <c r="J430" s="8">
        <f t="shared" ref="J430:K430" si="200">J410</f>
        <v>0</v>
      </c>
      <c r="K430" s="8">
        <f t="shared" si="200"/>
        <v>0</v>
      </c>
      <c r="L430" s="52"/>
      <c r="M430" s="52"/>
    </row>
    <row r="431" spans="1:13" ht="27" customHeight="1" x14ac:dyDescent="0.2">
      <c r="A431" s="130" t="s">
        <v>38</v>
      </c>
      <c r="B431" s="402" t="s">
        <v>4</v>
      </c>
      <c r="C431" s="11"/>
      <c r="D431" s="11"/>
      <c r="E431" s="8"/>
      <c r="F431" s="8"/>
      <c r="G431" s="8"/>
      <c r="H431" s="87">
        <f t="shared" si="197"/>
        <v>1550281.82</v>
      </c>
      <c r="I431" s="8">
        <f t="shared" ref="I431:K434" si="201">I422</f>
        <v>1550281.82</v>
      </c>
      <c r="J431" s="8">
        <f t="shared" si="201"/>
        <v>0</v>
      </c>
      <c r="K431" s="8">
        <f t="shared" si="201"/>
        <v>0</v>
      </c>
      <c r="L431" s="52"/>
      <c r="M431" s="52"/>
    </row>
    <row r="432" spans="1:13" ht="27" customHeight="1" x14ac:dyDescent="0.2">
      <c r="A432" s="100" t="s">
        <v>38</v>
      </c>
      <c r="B432" s="196" t="s">
        <v>5</v>
      </c>
      <c r="C432" s="11"/>
      <c r="D432" s="11"/>
      <c r="E432" s="8"/>
      <c r="F432" s="8"/>
      <c r="G432" s="8"/>
      <c r="H432" s="87">
        <f t="shared" si="197"/>
        <v>2279721.2000000002</v>
      </c>
      <c r="I432" s="8">
        <f t="shared" si="201"/>
        <v>2279721.2000000002</v>
      </c>
      <c r="J432" s="8">
        <f t="shared" si="201"/>
        <v>0</v>
      </c>
      <c r="K432" s="8">
        <f t="shared" si="201"/>
        <v>0</v>
      </c>
      <c r="L432" s="52"/>
      <c r="M432" s="52"/>
    </row>
    <row r="433" spans="1:13" ht="25.5" customHeight="1" x14ac:dyDescent="0.2">
      <c r="A433" s="100" t="s">
        <v>37</v>
      </c>
      <c r="B433" s="196" t="s">
        <v>4</v>
      </c>
      <c r="C433" s="11"/>
      <c r="D433" s="11"/>
      <c r="E433" s="8"/>
      <c r="F433" s="8"/>
      <c r="G433" s="8"/>
      <c r="H433" s="87">
        <f t="shared" si="197"/>
        <v>153477900.53999999</v>
      </c>
      <c r="I433" s="8">
        <f t="shared" si="201"/>
        <v>153477900.53999999</v>
      </c>
      <c r="J433" s="8">
        <f t="shared" si="201"/>
        <v>0</v>
      </c>
      <c r="K433" s="8">
        <f t="shared" si="201"/>
        <v>0</v>
      </c>
      <c r="L433" s="52"/>
      <c r="M433" s="52"/>
    </row>
    <row r="434" spans="1:13" ht="25.5" customHeight="1" thickBot="1" x14ac:dyDescent="0.25">
      <c r="A434" s="90" t="s">
        <v>37</v>
      </c>
      <c r="B434" s="211" t="s">
        <v>5</v>
      </c>
      <c r="C434" s="12"/>
      <c r="D434" s="12"/>
      <c r="E434" s="13"/>
      <c r="F434" s="13"/>
      <c r="G434" s="13"/>
      <c r="H434" s="88">
        <f t="shared" si="197"/>
        <v>225692398.80000001</v>
      </c>
      <c r="I434" s="13">
        <f t="shared" si="201"/>
        <v>225692398.80000001</v>
      </c>
      <c r="J434" s="13">
        <f t="shared" si="201"/>
        <v>0</v>
      </c>
      <c r="K434" s="13">
        <f t="shared" si="201"/>
        <v>0</v>
      </c>
      <c r="L434" s="52"/>
      <c r="M434" s="52"/>
    </row>
    <row r="435" spans="1:13" ht="24.75" customHeight="1" thickBot="1" x14ac:dyDescent="0.25">
      <c r="A435" s="423" t="s">
        <v>61</v>
      </c>
      <c r="B435" s="423"/>
      <c r="C435" s="423"/>
      <c r="D435" s="423"/>
      <c r="E435" s="423"/>
      <c r="F435" s="423"/>
      <c r="G435" s="423"/>
      <c r="H435" s="423"/>
      <c r="I435" s="423"/>
      <c r="J435" s="423"/>
      <c r="K435" s="423"/>
      <c r="L435" s="52"/>
      <c r="M435" s="52"/>
    </row>
    <row r="436" spans="1:13" ht="25.5" customHeight="1" thickBot="1" x14ac:dyDescent="0.25">
      <c r="A436" s="417" t="s">
        <v>62</v>
      </c>
      <c r="B436" s="417"/>
      <c r="C436" s="417"/>
      <c r="D436" s="417"/>
      <c r="E436" s="417"/>
      <c r="F436" s="417"/>
      <c r="G436" s="417"/>
      <c r="H436" s="417"/>
      <c r="I436" s="417"/>
      <c r="J436" s="417"/>
      <c r="K436" s="417"/>
      <c r="L436" s="52"/>
      <c r="M436" s="52"/>
    </row>
    <row r="437" spans="1:13" ht="47.25" customHeight="1" thickBot="1" x14ac:dyDescent="0.25">
      <c r="A437" s="31" t="s">
        <v>63</v>
      </c>
      <c r="B437" s="151"/>
      <c r="C437" s="152"/>
      <c r="D437" s="152"/>
      <c r="E437" s="67"/>
      <c r="F437" s="67"/>
      <c r="G437" s="67"/>
      <c r="H437" s="149">
        <f>I437+J437+K437</f>
        <v>2466618</v>
      </c>
      <c r="I437" s="67">
        <f>I439</f>
        <v>2466618</v>
      </c>
      <c r="J437" s="67">
        <f>J439</f>
        <v>0</v>
      </c>
      <c r="K437" s="67">
        <f>K439</f>
        <v>0</v>
      </c>
      <c r="L437" s="52"/>
      <c r="M437" s="52"/>
    </row>
    <row r="438" spans="1:13" ht="24.75" customHeight="1" thickBot="1" x14ac:dyDescent="0.25">
      <c r="A438" s="31" t="s">
        <v>83</v>
      </c>
      <c r="B438" s="151"/>
      <c r="C438" s="152"/>
      <c r="D438" s="152"/>
      <c r="E438" s="67"/>
      <c r="F438" s="67"/>
      <c r="G438" s="67"/>
      <c r="H438" s="149"/>
      <c r="I438" s="67"/>
      <c r="J438" s="67"/>
      <c r="K438" s="67"/>
      <c r="L438" s="52"/>
      <c r="M438" s="52"/>
    </row>
    <row r="439" spans="1:13" ht="72" customHeight="1" x14ac:dyDescent="0.2">
      <c r="A439" s="94" t="s">
        <v>242</v>
      </c>
      <c r="B439" s="351" t="s">
        <v>131</v>
      </c>
      <c r="C439" s="32" t="s">
        <v>64</v>
      </c>
      <c r="D439" s="32" t="s">
        <v>128</v>
      </c>
      <c r="E439" s="292">
        <v>2466618</v>
      </c>
      <c r="F439" s="292"/>
      <c r="G439" s="292">
        <f>E439-F439</f>
        <v>2466618</v>
      </c>
      <c r="H439" s="292">
        <f>I439+J439+K439</f>
        <v>2466618</v>
      </c>
      <c r="I439" s="292">
        <f>SUM(I440:I441)</f>
        <v>2466618</v>
      </c>
      <c r="J439" s="33">
        <f>SUM(J440:J441)</f>
        <v>0</v>
      </c>
      <c r="K439" s="33">
        <f>SUM(K440:K441)</f>
        <v>0</v>
      </c>
      <c r="L439" s="52"/>
      <c r="M439" s="52"/>
    </row>
    <row r="440" spans="1:13" ht="30.75" customHeight="1" x14ac:dyDescent="0.2">
      <c r="A440" s="9" t="s">
        <v>65</v>
      </c>
      <c r="B440" s="153" t="s">
        <v>73</v>
      </c>
      <c r="C440" s="11"/>
      <c r="D440" s="11"/>
      <c r="E440" s="261"/>
      <c r="F440" s="261"/>
      <c r="G440" s="261"/>
      <c r="H440" s="261">
        <f>I440+J440+K440</f>
        <v>123331</v>
      </c>
      <c r="I440" s="261">
        <v>123331</v>
      </c>
      <c r="J440" s="8"/>
      <c r="K440" s="8"/>
      <c r="L440" s="52"/>
      <c r="M440" s="52"/>
    </row>
    <row r="441" spans="1:13" ht="32.25" customHeight="1" thickBot="1" x14ac:dyDescent="0.25">
      <c r="A441" s="16" t="s">
        <v>66</v>
      </c>
      <c r="B441" s="154" t="s">
        <v>74</v>
      </c>
      <c r="C441" s="12"/>
      <c r="D441" s="12"/>
      <c r="E441" s="13"/>
      <c r="F441" s="13"/>
      <c r="G441" s="13"/>
      <c r="H441" s="88">
        <f t="shared" ref="H441:H447" si="202">I441+J441+K441</f>
        <v>2343287</v>
      </c>
      <c r="I441" s="13">
        <v>2343287</v>
      </c>
      <c r="J441" s="13"/>
      <c r="K441" s="13"/>
      <c r="L441" s="52"/>
      <c r="M441" s="52"/>
    </row>
    <row r="442" spans="1:13" ht="21.75" customHeight="1" thickBot="1" x14ac:dyDescent="0.25">
      <c r="A442" s="418" t="s">
        <v>243</v>
      </c>
      <c r="B442" s="419"/>
      <c r="C442" s="420"/>
      <c r="D442" s="61"/>
      <c r="E442" s="62"/>
      <c r="F442" s="62"/>
      <c r="G442" s="62"/>
      <c r="H442" s="59">
        <f t="shared" si="202"/>
        <v>2466618</v>
      </c>
      <c r="I442" s="59">
        <f>SUM(I443:I444)</f>
        <v>2466618</v>
      </c>
      <c r="J442" s="59">
        <f>SUM(J443:J444)</f>
        <v>0</v>
      </c>
      <c r="K442" s="59">
        <f>SUM(K443:K444)</f>
        <v>0</v>
      </c>
      <c r="L442" s="52"/>
      <c r="M442" s="52"/>
    </row>
    <row r="443" spans="1:13" ht="27" customHeight="1" x14ac:dyDescent="0.2">
      <c r="A443" s="75" t="s">
        <v>65</v>
      </c>
      <c r="B443" s="143">
        <v>9408</v>
      </c>
      <c r="C443" s="76"/>
      <c r="D443" s="76"/>
      <c r="E443" s="14"/>
      <c r="F443" s="14"/>
      <c r="G443" s="14"/>
      <c r="H443" s="98">
        <f t="shared" si="202"/>
        <v>123331</v>
      </c>
      <c r="I443" s="14">
        <f t="shared" ref="I443:K444" si="203">I440</f>
        <v>123331</v>
      </c>
      <c r="J443" s="14">
        <f t="shared" si="203"/>
        <v>0</v>
      </c>
      <c r="K443" s="14">
        <f t="shared" si="203"/>
        <v>0</v>
      </c>
      <c r="L443" s="52"/>
      <c r="M443" s="52"/>
    </row>
    <row r="444" spans="1:13" ht="31.5" customHeight="1" thickBot="1" x14ac:dyDescent="0.25">
      <c r="A444" s="16" t="s">
        <v>66</v>
      </c>
      <c r="B444" s="142">
        <v>9408</v>
      </c>
      <c r="C444" s="12"/>
      <c r="D444" s="12"/>
      <c r="E444" s="13"/>
      <c r="F444" s="13"/>
      <c r="G444" s="13"/>
      <c r="H444" s="88">
        <f t="shared" si="202"/>
        <v>2343287</v>
      </c>
      <c r="I444" s="13">
        <f t="shared" si="203"/>
        <v>2343287</v>
      </c>
      <c r="J444" s="13">
        <f t="shared" si="203"/>
        <v>0</v>
      </c>
      <c r="K444" s="13">
        <f t="shared" si="203"/>
        <v>0</v>
      </c>
      <c r="L444" s="52"/>
      <c r="M444" s="52"/>
    </row>
    <row r="445" spans="1:13" ht="24.75" customHeight="1" thickBot="1" x14ac:dyDescent="0.25">
      <c r="A445" s="413" t="s">
        <v>67</v>
      </c>
      <c r="B445" s="414"/>
      <c r="C445" s="415"/>
      <c r="D445" s="155"/>
      <c r="E445" s="156"/>
      <c r="F445" s="156"/>
      <c r="G445" s="156"/>
      <c r="H445" s="131">
        <f t="shared" si="202"/>
        <v>2466618</v>
      </c>
      <c r="I445" s="131">
        <f>SUM(I446:I447)</f>
        <v>2466618</v>
      </c>
      <c r="J445" s="131">
        <f>SUM(J446:J447)</f>
        <v>0</v>
      </c>
      <c r="K445" s="131">
        <f>SUM(K446:K447)</f>
        <v>0</v>
      </c>
      <c r="L445" s="52"/>
      <c r="M445" s="52"/>
    </row>
    <row r="446" spans="1:13" ht="28.5" customHeight="1" x14ac:dyDescent="0.2">
      <c r="A446" s="75" t="s">
        <v>65</v>
      </c>
      <c r="B446" s="143">
        <v>9408</v>
      </c>
      <c r="C446" s="76"/>
      <c r="D446" s="76"/>
      <c r="E446" s="14"/>
      <c r="F446" s="14"/>
      <c r="G446" s="14"/>
      <c r="H446" s="98">
        <f t="shared" si="202"/>
        <v>123331</v>
      </c>
      <c r="I446" s="14">
        <f t="shared" ref="I446:K447" si="204">I443</f>
        <v>123331</v>
      </c>
      <c r="J446" s="14">
        <f t="shared" si="204"/>
        <v>0</v>
      </c>
      <c r="K446" s="14">
        <f t="shared" si="204"/>
        <v>0</v>
      </c>
      <c r="L446" s="52"/>
      <c r="M446" s="52"/>
    </row>
    <row r="447" spans="1:13" ht="30" customHeight="1" thickBot="1" x14ac:dyDescent="0.25">
      <c r="A447" s="16" t="s">
        <v>66</v>
      </c>
      <c r="B447" s="142">
        <v>9408</v>
      </c>
      <c r="C447" s="12"/>
      <c r="D447" s="12"/>
      <c r="E447" s="13"/>
      <c r="F447" s="13"/>
      <c r="G447" s="13"/>
      <c r="H447" s="106">
        <f t="shared" si="202"/>
        <v>2343287</v>
      </c>
      <c r="I447" s="13">
        <f t="shared" si="204"/>
        <v>2343287</v>
      </c>
      <c r="J447" s="13">
        <f t="shared" si="204"/>
        <v>0</v>
      </c>
      <c r="K447" s="13">
        <f t="shared" si="204"/>
        <v>0</v>
      </c>
      <c r="L447" s="52"/>
      <c r="M447" s="52"/>
    </row>
    <row r="448" spans="1:13" ht="48" customHeight="1" x14ac:dyDescent="0.25">
      <c r="A448" s="38"/>
      <c r="B448" s="407" t="s">
        <v>428</v>
      </c>
      <c r="C448" s="407"/>
      <c r="D448" s="407"/>
      <c r="E448" s="407"/>
      <c r="F448" s="407"/>
      <c r="G448" s="407"/>
      <c r="H448" s="407"/>
      <c r="I448" s="407"/>
      <c r="J448" s="407"/>
      <c r="K448" s="407"/>
      <c r="L448" s="21"/>
    </row>
    <row r="449" spans="1:12" ht="31.5" customHeight="1" x14ac:dyDescent="0.25">
      <c r="A449" s="409" t="s">
        <v>45</v>
      </c>
      <c r="B449" s="409"/>
      <c r="C449" s="409"/>
      <c r="D449" s="409"/>
      <c r="E449" s="409"/>
      <c r="F449" s="409"/>
      <c r="G449" s="202"/>
      <c r="H449" s="202"/>
      <c r="I449" s="406" t="s">
        <v>46</v>
      </c>
      <c r="J449" s="406"/>
      <c r="K449" s="406"/>
      <c r="L449" s="21"/>
    </row>
    <row r="450" spans="1:12" ht="22.5" customHeight="1" x14ac:dyDescent="0.2">
      <c r="A450" s="409"/>
      <c r="B450" s="409"/>
      <c r="C450" s="409"/>
      <c r="D450" s="409"/>
      <c r="E450" s="409"/>
      <c r="F450" s="409"/>
      <c r="G450" s="203"/>
      <c r="H450" s="203"/>
      <c r="I450" s="410"/>
      <c r="J450" s="410"/>
      <c r="K450" s="410"/>
      <c r="L450" s="21"/>
    </row>
    <row r="451" spans="1:12" ht="19.5" customHeight="1" x14ac:dyDescent="0.2">
      <c r="A451" s="409" t="s">
        <v>446</v>
      </c>
      <c r="B451" s="409"/>
      <c r="C451" s="409"/>
      <c r="D451" s="409"/>
      <c r="E451" s="409"/>
      <c r="F451" s="409"/>
      <c r="G451" s="203"/>
      <c r="H451" s="203"/>
      <c r="I451" s="412" t="s">
        <v>447</v>
      </c>
      <c r="J451" s="412"/>
      <c r="K451" s="412"/>
      <c r="L451" s="21"/>
    </row>
    <row r="452" spans="1:12" ht="21.75" customHeight="1" x14ac:dyDescent="0.2">
      <c r="A452" s="409"/>
      <c r="B452" s="409"/>
      <c r="C452" s="409"/>
      <c r="D452" s="409"/>
      <c r="E452" s="409"/>
      <c r="F452" s="409"/>
      <c r="G452" s="203"/>
      <c r="H452" s="203"/>
      <c r="I452" s="410"/>
      <c r="J452" s="410"/>
      <c r="K452" s="410"/>
      <c r="L452" s="21"/>
    </row>
    <row r="453" spans="1:12" ht="18.75" customHeight="1" x14ac:dyDescent="0.25">
      <c r="A453" s="409" t="s">
        <v>103</v>
      </c>
      <c r="B453" s="409"/>
      <c r="C453" s="409"/>
      <c r="D453" s="409"/>
      <c r="E453" s="409"/>
      <c r="F453" s="409"/>
      <c r="G453" s="204"/>
      <c r="H453" s="204"/>
      <c r="I453" s="406" t="s">
        <v>137</v>
      </c>
      <c r="J453" s="406"/>
      <c r="K453" s="406"/>
      <c r="L453" s="21"/>
    </row>
    <row r="454" spans="1:12" ht="15.75" x14ac:dyDescent="0.2">
      <c r="A454" s="408"/>
      <c r="B454" s="408"/>
      <c r="C454" s="408"/>
      <c r="D454" s="408"/>
      <c r="E454" s="408"/>
      <c r="F454" s="408"/>
      <c r="G454" s="23"/>
      <c r="H454" s="23"/>
      <c r="I454" s="411"/>
      <c r="J454" s="411"/>
      <c r="K454" s="411"/>
      <c r="L454" s="21"/>
    </row>
    <row r="455" spans="1:12" x14ac:dyDescent="0.2">
      <c r="A455" s="17"/>
      <c r="B455" s="18"/>
      <c r="C455" s="19"/>
      <c r="D455" s="19"/>
      <c r="E455" s="20"/>
      <c r="F455" s="20"/>
      <c r="G455" s="20"/>
      <c r="H455" s="20"/>
      <c r="I455" s="20"/>
      <c r="J455" s="20"/>
      <c r="K455" s="20"/>
      <c r="L455" s="21"/>
    </row>
    <row r="456" spans="1:12" x14ac:dyDescent="0.2">
      <c r="A456" s="17"/>
      <c r="B456" s="18"/>
      <c r="C456" s="19"/>
      <c r="D456" s="19"/>
      <c r="E456" s="20"/>
      <c r="F456" s="20"/>
      <c r="G456" s="20"/>
      <c r="H456" s="20"/>
      <c r="I456" s="20"/>
      <c r="J456" s="20"/>
      <c r="K456" s="20"/>
      <c r="L456" s="21"/>
    </row>
    <row r="457" spans="1:12" x14ac:dyDescent="0.2">
      <c r="A457" s="17"/>
      <c r="B457" s="18"/>
      <c r="C457" s="19"/>
      <c r="D457" s="19"/>
      <c r="E457" s="20"/>
      <c r="F457" s="20"/>
      <c r="G457" s="20"/>
      <c r="H457" s="20"/>
      <c r="I457" s="20"/>
      <c r="J457" s="20"/>
      <c r="K457" s="20"/>
      <c r="L457" s="21"/>
    </row>
    <row r="458" spans="1:12" x14ac:dyDescent="0.2">
      <c r="A458" s="17"/>
      <c r="B458" s="18"/>
      <c r="C458" s="19"/>
      <c r="D458" s="19"/>
      <c r="E458" s="20"/>
      <c r="F458" s="20"/>
      <c r="G458" s="20"/>
      <c r="H458" s="20"/>
      <c r="I458" s="20"/>
      <c r="J458" s="20"/>
      <c r="K458" s="20"/>
      <c r="L458" s="21"/>
    </row>
    <row r="459" spans="1:12" x14ac:dyDescent="0.2">
      <c r="A459" s="17"/>
      <c r="B459" s="18"/>
      <c r="C459" s="19"/>
      <c r="D459" s="19"/>
      <c r="E459" s="20"/>
      <c r="F459" s="20"/>
      <c r="G459" s="20"/>
      <c r="H459" s="20"/>
      <c r="I459" s="20"/>
      <c r="J459" s="20"/>
      <c r="K459" s="20"/>
      <c r="L459" s="21"/>
    </row>
    <row r="460" spans="1:12" x14ac:dyDescent="0.2">
      <c r="A460" s="17"/>
      <c r="B460" s="18"/>
      <c r="C460" s="19"/>
      <c r="D460" s="19"/>
      <c r="E460" s="20"/>
      <c r="F460" s="20"/>
      <c r="G460" s="20"/>
      <c r="H460" s="20"/>
      <c r="I460" s="20"/>
      <c r="J460" s="20"/>
      <c r="K460" s="20"/>
      <c r="L460" s="21"/>
    </row>
    <row r="461" spans="1:12" x14ac:dyDescent="0.2">
      <c r="A461" s="17"/>
      <c r="B461" s="18"/>
      <c r="C461" s="19"/>
      <c r="D461" s="19"/>
      <c r="E461" s="20"/>
      <c r="F461" s="20"/>
      <c r="G461" s="20"/>
      <c r="H461" s="20"/>
      <c r="I461" s="20"/>
      <c r="J461" s="20"/>
      <c r="K461" s="20"/>
      <c r="L461" s="21"/>
    </row>
    <row r="462" spans="1:12" x14ac:dyDescent="0.2">
      <c r="A462" s="17"/>
      <c r="B462" s="18"/>
      <c r="C462" s="19"/>
      <c r="D462" s="19"/>
      <c r="E462" s="20"/>
      <c r="F462" s="20"/>
      <c r="G462" s="20"/>
      <c r="H462" s="20"/>
      <c r="I462" s="20"/>
      <c r="J462" s="20"/>
      <c r="K462" s="20"/>
      <c r="L462" s="21"/>
    </row>
    <row r="463" spans="1:12" x14ac:dyDescent="0.2">
      <c r="A463" s="17"/>
      <c r="B463" s="18"/>
      <c r="C463" s="19"/>
      <c r="D463" s="19"/>
      <c r="E463" s="20"/>
      <c r="F463" s="20"/>
      <c r="G463" s="20"/>
      <c r="H463" s="20"/>
      <c r="I463" s="20"/>
      <c r="J463" s="20"/>
      <c r="K463" s="20"/>
      <c r="L463" s="21"/>
    </row>
    <row r="464" spans="1:12" x14ac:dyDescent="0.2">
      <c r="A464" s="17"/>
      <c r="B464" s="18"/>
      <c r="C464" s="19"/>
      <c r="D464" s="19"/>
      <c r="E464" s="20"/>
      <c r="F464" s="20"/>
      <c r="G464" s="20"/>
      <c r="H464" s="20"/>
      <c r="I464" s="20"/>
      <c r="J464" s="20"/>
      <c r="K464" s="20"/>
      <c r="L464" s="21"/>
    </row>
    <row r="465" spans="1:12" x14ac:dyDescent="0.2">
      <c r="A465" s="17"/>
      <c r="B465" s="18"/>
      <c r="C465" s="19"/>
      <c r="D465" s="19"/>
      <c r="E465" s="20"/>
      <c r="F465" s="20"/>
      <c r="G465" s="20"/>
      <c r="H465" s="20"/>
      <c r="I465" s="20"/>
      <c r="J465" s="20"/>
      <c r="K465" s="20"/>
      <c r="L465" s="21"/>
    </row>
    <row r="466" spans="1:12" x14ac:dyDescent="0.2">
      <c r="A466" s="17"/>
      <c r="B466" s="18"/>
      <c r="C466" s="19"/>
      <c r="D466" s="19"/>
      <c r="E466" s="20"/>
      <c r="F466" s="20"/>
      <c r="G466" s="20"/>
      <c r="H466" s="20"/>
      <c r="I466" s="20"/>
      <c r="J466" s="20"/>
      <c r="K466" s="20"/>
      <c r="L466" s="21"/>
    </row>
    <row r="467" spans="1:12" x14ac:dyDescent="0.2">
      <c r="A467" s="17"/>
      <c r="B467" s="18"/>
      <c r="C467" s="19"/>
      <c r="D467" s="19"/>
      <c r="E467" s="20"/>
      <c r="F467" s="20"/>
      <c r="G467" s="20"/>
      <c r="H467" s="20"/>
      <c r="I467" s="20"/>
      <c r="J467" s="20"/>
      <c r="K467" s="20"/>
      <c r="L467" s="21"/>
    </row>
    <row r="468" spans="1:12" x14ac:dyDescent="0.2">
      <c r="A468" s="17"/>
      <c r="B468" s="18"/>
      <c r="C468" s="19"/>
      <c r="D468" s="19"/>
      <c r="E468" s="20"/>
      <c r="F468" s="20"/>
      <c r="G468" s="20"/>
      <c r="H468" s="20"/>
      <c r="I468" s="20"/>
      <c r="J468" s="20"/>
      <c r="K468" s="20"/>
      <c r="L468" s="21"/>
    </row>
    <row r="469" spans="1:12" x14ac:dyDescent="0.2">
      <c r="A469" s="17"/>
      <c r="B469" s="18"/>
      <c r="C469" s="19"/>
      <c r="D469" s="19"/>
      <c r="E469" s="20"/>
      <c r="F469" s="20"/>
      <c r="G469" s="20"/>
      <c r="H469" s="20"/>
      <c r="I469" s="20"/>
      <c r="J469" s="20"/>
      <c r="K469" s="20"/>
      <c r="L469" s="21"/>
    </row>
    <row r="470" spans="1:12" x14ac:dyDescent="0.2">
      <c r="A470" s="17"/>
      <c r="B470" s="18"/>
      <c r="C470" s="19"/>
      <c r="D470" s="19"/>
      <c r="E470" s="20"/>
      <c r="F470" s="20"/>
      <c r="G470" s="20"/>
      <c r="H470" s="20"/>
      <c r="I470" s="20"/>
      <c r="J470" s="20"/>
      <c r="K470" s="20"/>
      <c r="L470" s="21"/>
    </row>
    <row r="471" spans="1:12" x14ac:dyDescent="0.2">
      <c r="A471" s="17"/>
      <c r="B471" s="18"/>
      <c r="C471" s="19"/>
      <c r="D471" s="19"/>
      <c r="E471" s="20"/>
      <c r="F471" s="20"/>
      <c r="G471" s="20"/>
      <c r="H471" s="20"/>
      <c r="I471" s="20"/>
      <c r="J471" s="20"/>
      <c r="K471" s="20"/>
      <c r="L471" s="21"/>
    </row>
    <row r="472" spans="1:12" x14ac:dyDescent="0.2">
      <c r="A472" s="17"/>
      <c r="B472" s="18"/>
      <c r="C472" s="19"/>
      <c r="D472" s="19"/>
      <c r="E472" s="20"/>
      <c r="F472" s="20"/>
      <c r="G472" s="20"/>
      <c r="H472" s="20"/>
      <c r="I472" s="20"/>
      <c r="J472" s="20"/>
      <c r="K472" s="20"/>
      <c r="L472" s="21"/>
    </row>
    <row r="473" spans="1:12" x14ac:dyDescent="0.2">
      <c r="A473" s="17"/>
      <c r="B473" s="18"/>
      <c r="C473" s="19"/>
      <c r="D473" s="19"/>
      <c r="E473" s="20"/>
      <c r="F473" s="20"/>
      <c r="G473" s="20"/>
      <c r="H473" s="20"/>
      <c r="I473" s="20"/>
      <c r="J473" s="20"/>
      <c r="K473" s="20"/>
      <c r="L473" s="21"/>
    </row>
    <row r="474" spans="1:12" x14ac:dyDescent="0.2">
      <c r="A474" s="17"/>
      <c r="B474" s="18"/>
      <c r="C474" s="19"/>
      <c r="D474" s="19"/>
      <c r="E474" s="20"/>
      <c r="F474" s="20"/>
      <c r="G474" s="20"/>
      <c r="H474" s="20"/>
      <c r="I474" s="20"/>
      <c r="J474" s="20"/>
      <c r="K474" s="20"/>
      <c r="L474" s="21"/>
    </row>
    <row r="475" spans="1:12" x14ac:dyDescent="0.2">
      <c r="A475" s="17"/>
      <c r="B475" s="18"/>
      <c r="C475" s="19"/>
      <c r="D475" s="19"/>
      <c r="E475" s="20"/>
      <c r="F475" s="20"/>
      <c r="G475" s="20"/>
      <c r="H475" s="20"/>
      <c r="I475" s="20"/>
      <c r="J475" s="20"/>
      <c r="K475" s="20"/>
      <c r="L475" s="21"/>
    </row>
    <row r="476" spans="1:12" x14ac:dyDescent="0.2">
      <c r="A476" s="17"/>
      <c r="B476" s="18"/>
      <c r="C476" s="19"/>
      <c r="D476" s="19"/>
      <c r="E476" s="20"/>
      <c r="F476" s="20"/>
      <c r="G476" s="20"/>
      <c r="H476" s="20"/>
      <c r="I476" s="20"/>
      <c r="J476" s="20"/>
      <c r="K476" s="20"/>
      <c r="L476" s="21"/>
    </row>
    <row r="477" spans="1:12" x14ac:dyDescent="0.2">
      <c r="A477" s="17"/>
      <c r="B477" s="18"/>
      <c r="C477" s="19"/>
      <c r="D477" s="19"/>
      <c r="E477" s="20"/>
      <c r="F477" s="20"/>
      <c r="G477" s="20"/>
      <c r="H477" s="20"/>
      <c r="I477" s="20"/>
      <c r="J477" s="20"/>
      <c r="K477" s="20"/>
      <c r="L477" s="21"/>
    </row>
    <row r="478" spans="1:12" x14ac:dyDescent="0.2">
      <c r="A478" s="17"/>
      <c r="B478" s="18"/>
      <c r="C478" s="19"/>
      <c r="D478" s="19"/>
      <c r="E478" s="20"/>
      <c r="F478" s="20"/>
      <c r="G478" s="20"/>
      <c r="H478" s="20"/>
      <c r="I478" s="20"/>
      <c r="J478" s="20"/>
      <c r="K478" s="20"/>
      <c r="L478" s="21"/>
    </row>
    <row r="479" spans="1:12" x14ac:dyDescent="0.2">
      <c r="A479" s="17"/>
      <c r="B479" s="18"/>
      <c r="C479" s="19"/>
      <c r="D479" s="19"/>
      <c r="E479" s="20"/>
      <c r="F479" s="20"/>
      <c r="G479" s="20"/>
      <c r="H479" s="20"/>
      <c r="I479" s="20"/>
      <c r="J479" s="20"/>
      <c r="K479" s="20"/>
      <c r="L479" s="21"/>
    </row>
    <row r="480" spans="1:12" x14ac:dyDescent="0.2">
      <c r="A480" s="17"/>
      <c r="B480" s="18"/>
      <c r="C480" s="19"/>
      <c r="D480" s="19"/>
      <c r="E480" s="20"/>
      <c r="F480" s="20"/>
      <c r="G480" s="20"/>
      <c r="H480" s="20"/>
      <c r="I480" s="20"/>
      <c r="J480" s="20"/>
      <c r="K480" s="20"/>
      <c r="L480" s="21"/>
    </row>
    <row r="481" spans="1:12" x14ac:dyDescent="0.2">
      <c r="A481" s="17"/>
      <c r="B481" s="18"/>
      <c r="C481" s="19"/>
      <c r="D481" s="19"/>
      <c r="E481" s="20"/>
      <c r="F481" s="20"/>
      <c r="G481" s="20"/>
      <c r="H481" s="20"/>
      <c r="I481" s="20"/>
      <c r="J481" s="20"/>
      <c r="K481" s="20"/>
      <c r="L481" s="21"/>
    </row>
    <row r="482" spans="1:12" x14ac:dyDescent="0.2">
      <c r="A482" s="17"/>
      <c r="B482" s="18"/>
      <c r="C482" s="19"/>
      <c r="D482" s="19"/>
      <c r="E482" s="20"/>
      <c r="F482" s="20"/>
      <c r="G482" s="20"/>
      <c r="H482" s="20"/>
      <c r="I482" s="20"/>
      <c r="J482" s="20"/>
      <c r="K482" s="20"/>
      <c r="L482" s="21"/>
    </row>
    <row r="483" spans="1:12" x14ac:dyDescent="0.2">
      <c r="A483" s="17"/>
      <c r="B483" s="18"/>
      <c r="C483" s="19"/>
      <c r="D483" s="19"/>
      <c r="E483" s="20"/>
      <c r="F483" s="20"/>
      <c r="G483" s="20"/>
      <c r="H483" s="20"/>
      <c r="I483" s="20"/>
      <c r="J483" s="20"/>
      <c r="K483" s="20"/>
      <c r="L483" s="21"/>
    </row>
    <row r="484" spans="1:12" x14ac:dyDescent="0.2">
      <c r="A484" s="17"/>
      <c r="B484" s="18"/>
      <c r="C484" s="19"/>
      <c r="D484" s="19"/>
      <c r="E484" s="20"/>
      <c r="F484" s="20"/>
      <c r="G484" s="20"/>
      <c r="H484" s="20"/>
      <c r="I484" s="20"/>
      <c r="J484" s="20"/>
      <c r="K484" s="20"/>
      <c r="L484" s="21"/>
    </row>
    <row r="485" spans="1:12" x14ac:dyDescent="0.2">
      <c r="A485" s="17"/>
      <c r="B485" s="18"/>
      <c r="C485" s="19"/>
      <c r="D485" s="19"/>
      <c r="E485" s="20"/>
      <c r="F485" s="20"/>
      <c r="G485" s="20"/>
      <c r="H485" s="20"/>
      <c r="I485" s="20"/>
      <c r="J485" s="20"/>
      <c r="K485" s="20"/>
      <c r="L485" s="21"/>
    </row>
    <row r="486" spans="1:12" x14ac:dyDescent="0.2">
      <c r="A486" s="17"/>
      <c r="B486" s="18"/>
      <c r="C486" s="19"/>
      <c r="D486" s="19"/>
      <c r="E486" s="20"/>
      <c r="F486" s="20"/>
      <c r="G486" s="20"/>
      <c r="H486" s="20"/>
      <c r="I486" s="20"/>
      <c r="J486" s="20"/>
      <c r="K486" s="20"/>
      <c r="L486" s="21"/>
    </row>
    <row r="487" spans="1:12" x14ac:dyDescent="0.2">
      <c r="A487" s="17"/>
      <c r="B487" s="18"/>
      <c r="C487" s="19"/>
      <c r="D487" s="19"/>
      <c r="E487" s="20"/>
      <c r="F487" s="20"/>
      <c r="G487" s="20"/>
      <c r="H487" s="20"/>
      <c r="I487" s="20"/>
      <c r="J487" s="20"/>
      <c r="K487" s="20"/>
      <c r="L487" s="21"/>
    </row>
    <row r="488" spans="1:12" x14ac:dyDescent="0.2">
      <c r="A488" s="17"/>
      <c r="B488" s="18"/>
      <c r="C488" s="19"/>
      <c r="D488" s="19"/>
      <c r="E488" s="20"/>
      <c r="F488" s="20"/>
      <c r="G488" s="20"/>
      <c r="H488" s="20"/>
      <c r="I488" s="20"/>
      <c r="J488" s="20"/>
      <c r="K488" s="20"/>
      <c r="L488" s="21"/>
    </row>
    <row r="489" spans="1:12" x14ac:dyDescent="0.2">
      <c r="A489" s="17"/>
      <c r="B489" s="18"/>
      <c r="C489" s="19"/>
      <c r="D489" s="19"/>
      <c r="E489" s="20"/>
      <c r="F489" s="20"/>
      <c r="G489" s="20"/>
      <c r="H489" s="20"/>
      <c r="I489" s="20"/>
      <c r="J489" s="20"/>
      <c r="K489" s="20"/>
      <c r="L489" s="21"/>
    </row>
    <row r="490" spans="1:12" x14ac:dyDescent="0.2">
      <c r="A490" s="17"/>
      <c r="B490" s="18"/>
      <c r="C490" s="19"/>
      <c r="D490" s="19"/>
      <c r="E490" s="20"/>
      <c r="F490" s="20"/>
      <c r="G490" s="20"/>
      <c r="H490" s="20"/>
      <c r="I490" s="20"/>
      <c r="J490" s="20"/>
      <c r="K490" s="20"/>
      <c r="L490" s="21"/>
    </row>
    <row r="491" spans="1:12" x14ac:dyDescent="0.2">
      <c r="A491" s="17"/>
      <c r="B491" s="18"/>
      <c r="C491" s="19"/>
      <c r="D491" s="19"/>
      <c r="E491" s="20"/>
      <c r="F491" s="20"/>
      <c r="G491" s="20"/>
      <c r="H491" s="20"/>
      <c r="I491" s="20"/>
      <c r="J491" s="20"/>
      <c r="K491" s="20"/>
      <c r="L491" s="21"/>
    </row>
    <row r="492" spans="1:12" x14ac:dyDescent="0.2">
      <c r="A492" s="17"/>
      <c r="B492" s="18"/>
      <c r="C492" s="19"/>
      <c r="D492" s="19"/>
      <c r="E492" s="20"/>
      <c r="F492" s="20"/>
      <c r="G492" s="20"/>
      <c r="H492" s="20"/>
      <c r="I492" s="20"/>
      <c r="J492" s="20"/>
      <c r="K492" s="20"/>
      <c r="L492" s="21"/>
    </row>
    <row r="493" spans="1:12" x14ac:dyDescent="0.2">
      <c r="A493" s="17"/>
      <c r="B493" s="18"/>
      <c r="C493" s="19"/>
      <c r="D493" s="19"/>
      <c r="E493" s="20"/>
      <c r="F493" s="20"/>
      <c r="G493" s="20"/>
      <c r="H493" s="20"/>
      <c r="I493" s="20"/>
      <c r="J493" s="20"/>
      <c r="K493" s="20"/>
      <c r="L493" s="21"/>
    </row>
    <row r="494" spans="1:12" x14ac:dyDescent="0.2">
      <c r="A494" s="17"/>
      <c r="B494" s="18"/>
      <c r="C494" s="19"/>
      <c r="D494" s="19"/>
      <c r="E494" s="20"/>
      <c r="F494" s="20"/>
      <c r="G494" s="20"/>
      <c r="H494" s="20"/>
      <c r="I494" s="20"/>
      <c r="J494" s="20"/>
      <c r="K494" s="20"/>
      <c r="L494" s="21"/>
    </row>
    <row r="495" spans="1:12" x14ac:dyDescent="0.2">
      <c r="A495" s="17"/>
      <c r="B495" s="18"/>
      <c r="C495" s="19"/>
      <c r="D495" s="19"/>
      <c r="E495" s="20"/>
      <c r="F495" s="20"/>
      <c r="G495" s="20"/>
      <c r="H495" s="20"/>
      <c r="I495" s="20"/>
      <c r="J495" s="20"/>
      <c r="K495" s="20"/>
      <c r="L495" s="21"/>
    </row>
    <row r="496" spans="1:12" x14ac:dyDescent="0.2">
      <c r="A496" s="17"/>
      <c r="B496" s="18"/>
      <c r="C496" s="19"/>
      <c r="D496" s="19"/>
      <c r="E496" s="20"/>
      <c r="F496" s="20"/>
      <c r="G496" s="20"/>
      <c r="H496" s="20"/>
      <c r="I496" s="20"/>
      <c r="J496" s="20"/>
      <c r="K496" s="20"/>
      <c r="L496" s="21"/>
    </row>
    <row r="497" spans="1:12" x14ac:dyDescent="0.2">
      <c r="A497" s="17"/>
      <c r="B497" s="18"/>
      <c r="C497" s="19"/>
      <c r="D497" s="19"/>
      <c r="E497" s="20"/>
      <c r="F497" s="20"/>
      <c r="G497" s="20"/>
      <c r="H497" s="20"/>
      <c r="I497" s="20"/>
      <c r="J497" s="20"/>
      <c r="K497" s="20"/>
      <c r="L497" s="21"/>
    </row>
    <row r="498" spans="1:12" x14ac:dyDescent="0.2">
      <c r="A498" s="17"/>
      <c r="B498" s="18"/>
      <c r="C498" s="19"/>
      <c r="D498" s="19"/>
      <c r="E498" s="20"/>
      <c r="F498" s="20"/>
      <c r="G498" s="20"/>
      <c r="H498" s="20"/>
      <c r="I498" s="20"/>
      <c r="J498" s="20"/>
      <c r="K498" s="20"/>
      <c r="L498" s="21"/>
    </row>
    <row r="499" spans="1:12" x14ac:dyDescent="0.2">
      <c r="A499" s="17"/>
      <c r="B499" s="18"/>
      <c r="C499" s="19"/>
      <c r="D499" s="19"/>
      <c r="E499" s="20"/>
      <c r="F499" s="20"/>
      <c r="G499" s="20"/>
      <c r="H499" s="20"/>
      <c r="I499" s="20"/>
      <c r="J499" s="20"/>
      <c r="K499" s="20"/>
      <c r="L499" s="21"/>
    </row>
    <row r="500" spans="1:12" x14ac:dyDescent="0.2">
      <c r="A500" s="17"/>
      <c r="B500" s="18"/>
      <c r="C500" s="19"/>
      <c r="D500" s="19"/>
      <c r="E500" s="20"/>
      <c r="F500" s="20"/>
      <c r="G500" s="20"/>
      <c r="H500" s="20"/>
      <c r="I500" s="20"/>
      <c r="J500" s="20"/>
      <c r="K500" s="20"/>
      <c r="L500" s="21"/>
    </row>
    <row r="501" spans="1:12" x14ac:dyDescent="0.2">
      <c r="A501" s="17"/>
      <c r="B501" s="18"/>
      <c r="C501" s="19"/>
      <c r="D501" s="19"/>
      <c r="E501" s="20"/>
      <c r="F501" s="20"/>
      <c r="G501" s="20"/>
      <c r="H501" s="20"/>
      <c r="I501" s="20"/>
      <c r="J501" s="20"/>
      <c r="K501" s="20"/>
      <c r="L501" s="21"/>
    </row>
    <row r="502" spans="1:12" x14ac:dyDescent="0.2">
      <c r="A502" s="17"/>
      <c r="B502" s="18"/>
      <c r="C502" s="19"/>
      <c r="D502" s="19"/>
      <c r="E502" s="20"/>
      <c r="F502" s="20"/>
      <c r="G502" s="20"/>
      <c r="H502" s="20"/>
      <c r="I502" s="20"/>
      <c r="J502" s="20"/>
      <c r="K502" s="20"/>
      <c r="L502" s="21"/>
    </row>
    <row r="503" spans="1:12" x14ac:dyDescent="0.2">
      <c r="A503" s="17"/>
      <c r="B503" s="18"/>
      <c r="C503" s="19"/>
      <c r="D503" s="19"/>
      <c r="E503" s="20"/>
      <c r="F503" s="20"/>
      <c r="G503" s="20"/>
      <c r="H503" s="20"/>
      <c r="I503" s="20"/>
      <c r="J503" s="20"/>
      <c r="K503" s="20"/>
      <c r="L503" s="21"/>
    </row>
    <row r="504" spans="1:12" x14ac:dyDescent="0.2">
      <c r="A504" s="17"/>
      <c r="B504" s="18"/>
      <c r="C504" s="19"/>
      <c r="D504" s="19"/>
      <c r="E504" s="20"/>
      <c r="F504" s="20"/>
      <c r="G504" s="20"/>
      <c r="H504" s="20"/>
      <c r="I504" s="20"/>
      <c r="J504" s="20"/>
      <c r="K504" s="20"/>
      <c r="L504" s="21"/>
    </row>
    <row r="505" spans="1:12" x14ac:dyDescent="0.2">
      <c r="A505" s="17"/>
      <c r="B505" s="18"/>
      <c r="C505" s="19"/>
      <c r="D505" s="19"/>
      <c r="E505" s="20"/>
      <c r="F505" s="20"/>
      <c r="G505" s="20"/>
      <c r="H505" s="20"/>
      <c r="I505" s="20"/>
      <c r="J505" s="20"/>
      <c r="K505" s="20"/>
      <c r="L505" s="21"/>
    </row>
    <row r="506" spans="1:12" x14ac:dyDescent="0.2">
      <c r="A506" s="17"/>
      <c r="B506" s="18"/>
      <c r="C506" s="19"/>
      <c r="D506" s="19"/>
      <c r="E506" s="20"/>
      <c r="F506" s="20"/>
      <c r="G506" s="20"/>
      <c r="H506" s="20"/>
      <c r="I506" s="20"/>
      <c r="J506" s="20"/>
      <c r="K506" s="20"/>
      <c r="L506" s="21"/>
    </row>
    <row r="507" spans="1:12" x14ac:dyDescent="0.2">
      <c r="A507" s="17"/>
      <c r="B507" s="18"/>
      <c r="C507" s="19"/>
      <c r="D507" s="19"/>
      <c r="E507" s="20"/>
      <c r="F507" s="20"/>
      <c r="G507" s="20"/>
      <c r="H507" s="20"/>
      <c r="I507" s="20"/>
      <c r="J507" s="20"/>
      <c r="K507" s="20"/>
      <c r="L507" s="21"/>
    </row>
    <row r="508" spans="1:12" x14ac:dyDescent="0.2">
      <c r="A508" s="17"/>
      <c r="B508" s="18"/>
      <c r="C508" s="19"/>
      <c r="D508" s="19"/>
      <c r="E508" s="20"/>
      <c r="F508" s="20"/>
      <c r="G508" s="20"/>
      <c r="H508" s="20"/>
      <c r="I508" s="20"/>
      <c r="J508" s="20"/>
      <c r="K508" s="20"/>
      <c r="L508" s="21"/>
    </row>
    <row r="509" spans="1:12" x14ac:dyDescent="0.2">
      <c r="A509" s="17"/>
      <c r="B509" s="18"/>
      <c r="C509" s="19"/>
      <c r="D509" s="19"/>
      <c r="E509" s="20"/>
      <c r="F509" s="20"/>
      <c r="G509" s="20"/>
      <c r="H509" s="20"/>
      <c r="I509" s="20"/>
      <c r="J509" s="20"/>
      <c r="K509" s="20"/>
      <c r="L509" s="21"/>
    </row>
    <row r="510" spans="1:12" x14ac:dyDescent="0.2">
      <c r="A510" s="17"/>
      <c r="B510" s="18"/>
      <c r="C510" s="19"/>
      <c r="D510" s="19"/>
      <c r="E510" s="20"/>
      <c r="F510" s="20"/>
      <c r="G510" s="20"/>
      <c r="H510" s="20"/>
      <c r="I510" s="20"/>
      <c r="J510" s="20"/>
      <c r="K510" s="20"/>
      <c r="L510" s="21"/>
    </row>
    <row r="511" spans="1:12" x14ac:dyDescent="0.2">
      <c r="A511" s="17"/>
      <c r="B511" s="18"/>
      <c r="C511" s="19"/>
      <c r="D511" s="19"/>
      <c r="E511" s="20"/>
      <c r="F511" s="20"/>
      <c r="G511" s="20"/>
      <c r="H511" s="20"/>
      <c r="I511" s="20"/>
      <c r="J511" s="20"/>
      <c r="K511" s="20"/>
      <c r="L511" s="21"/>
    </row>
    <row r="512" spans="1:12" x14ac:dyDescent="0.2">
      <c r="A512" s="17"/>
      <c r="B512" s="18"/>
      <c r="C512" s="19"/>
      <c r="D512" s="19"/>
      <c r="E512" s="20"/>
      <c r="F512" s="20"/>
      <c r="G512" s="20"/>
      <c r="H512" s="20"/>
      <c r="I512" s="20"/>
      <c r="J512" s="20"/>
      <c r="K512" s="20"/>
      <c r="L512" s="21"/>
    </row>
    <row r="513" spans="1:12" x14ac:dyDescent="0.2">
      <c r="A513" s="17"/>
      <c r="B513" s="18"/>
      <c r="C513" s="19"/>
      <c r="D513" s="19"/>
      <c r="E513" s="20"/>
      <c r="F513" s="20"/>
      <c r="G513" s="20"/>
      <c r="H513" s="20"/>
      <c r="I513" s="20"/>
      <c r="J513" s="20"/>
      <c r="K513" s="20"/>
      <c r="L513" s="21"/>
    </row>
    <row r="514" spans="1:12" x14ac:dyDescent="0.2">
      <c r="A514" s="17"/>
      <c r="B514" s="18"/>
      <c r="C514" s="19"/>
      <c r="D514" s="19"/>
      <c r="E514" s="20"/>
      <c r="F514" s="20"/>
      <c r="G514" s="20"/>
      <c r="H514" s="20"/>
      <c r="I514" s="20"/>
      <c r="J514" s="20"/>
      <c r="K514" s="20"/>
      <c r="L514" s="21"/>
    </row>
    <row r="515" spans="1:12" x14ac:dyDescent="0.2">
      <c r="A515" s="17"/>
      <c r="B515" s="18"/>
      <c r="C515" s="19"/>
      <c r="D515" s="19"/>
      <c r="E515" s="20"/>
      <c r="F515" s="20"/>
      <c r="G515" s="20"/>
      <c r="H515" s="20"/>
      <c r="I515" s="20"/>
      <c r="J515" s="20"/>
      <c r="K515" s="20"/>
      <c r="L515" s="21"/>
    </row>
    <row r="516" spans="1:12" x14ac:dyDescent="0.2">
      <c r="A516" s="17"/>
      <c r="B516" s="18"/>
      <c r="C516" s="19"/>
      <c r="D516" s="19"/>
      <c r="E516" s="20"/>
      <c r="F516" s="20"/>
      <c r="G516" s="20"/>
      <c r="H516" s="20"/>
      <c r="I516" s="20"/>
      <c r="J516" s="20"/>
      <c r="K516" s="20"/>
      <c r="L516" s="21"/>
    </row>
    <row r="517" spans="1:12" x14ac:dyDescent="0.2">
      <c r="A517" s="17"/>
      <c r="B517" s="18"/>
      <c r="C517" s="19"/>
      <c r="D517" s="19"/>
      <c r="E517" s="20"/>
      <c r="F517" s="20"/>
      <c r="G517" s="20"/>
      <c r="H517" s="20"/>
      <c r="I517" s="20"/>
      <c r="J517" s="20"/>
      <c r="K517" s="20"/>
      <c r="L517" s="21"/>
    </row>
    <row r="518" spans="1:12" x14ac:dyDescent="0.2">
      <c r="A518" s="17"/>
      <c r="B518" s="18"/>
      <c r="C518" s="19"/>
      <c r="D518" s="19"/>
      <c r="E518" s="20"/>
      <c r="F518" s="20"/>
      <c r="G518" s="20"/>
      <c r="H518" s="20"/>
      <c r="I518" s="20"/>
      <c r="J518" s="20"/>
      <c r="K518" s="20"/>
      <c r="L518" s="21"/>
    </row>
    <row r="519" spans="1:12" x14ac:dyDescent="0.2">
      <c r="A519" s="17"/>
      <c r="B519" s="18"/>
      <c r="C519" s="19"/>
      <c r="D519" s="19"/>
      <c r="E519" s="20"/>
      <c r="F519" s="20"/>
      <c r="G519" s="20"/>
      <c r="H519" s="20"/>
      <c r="I519" s="20"/>
      <c r="J519" s="20"/>
      <c r="K519" s="20"/>
      <c r="L519" s="21"/>
    </row>
    <row r="520" spans="1:12" x14ac:dyDescent="0.2">
      <c r="A520" s="17"/>
      <c r="B520" s="18"/>
      <c r="C520" s="19"/>
      <c r="D520" s="19"/>
      <c r="E520" s="20"/>
      <c r="F520" s="20"/>
      <c r="G520" s="20"/>
      <c r="H520" s="20"/>
      <c r="I520" s="20"/>
      <c r="J520" s="20"/>
      <c r="K520" s="20"/>
      <c r="L520" s="21"/>
    </row>
    <row r="521" spans="1:12" x14ac:dyDescent="0.2">
      <c r="A521" s="17"/>
      <c r="B521" s="18"/>
      <c r="C521" s="19"/>
      <c r="D521" s="19"/>
      <c r="E521" s="20"/>
      <c r="F521" s="20"/>
      <c r="G521" s="20"/>
      <c r="H521" s="20"/>
      <c r="I521" s="20"/>
      <c r="J521" s="20"/>
      <c r="K521" s="20"/>
      <c r="L521" s="21"/>
    </row>
    <row r="522" spans="1:12" x14ac:dyDescent="0.2">
      <c r="A522" s="17"/>
      <c r="B522" s="18"/>
      <c r="C522" s="19"/>
      <c r="D522" s="19"/>
      <c r="E522" s="20"/>
      <c r="F522" s="20"/>
      <c r="G522" s="20"/>
      <c r="H522" s="20"/>
      <c r="I522" s="20"/>
      <c r="J522" s="20"/>
      <c r="K522" s="20"/>
      <c r="L522" s="21"/>
    </row>
    <row r="523" spans="1:12" x14ac:dyDescent="0.2">
      <c r="A523" s="17"/>
      <c r="B523" s="18"/>
      <c r="C523" s="19"/>
      <c r="D523" s="19"/>
      <c r="E523" s="20"/>
      <c r="F523" s="20"/>
      <c r="G523" s="20"/>
      <c r="H523" s="20"/>
      <c r="I523" s="20"/>
      <c r="J523" s="20"/>
      <c r="K523" s="20"/>
      <c r="L523" s="21"/>
    </row>
    <row r="524" spans="1:12" x14ac:dyDescent="0.2">
      <c r="A524" s="17"/>
      <c r="B524" s="18"/>
      <c r="C524" s="19"/>
      <c r="D524" s="19"/>
      <c r="E524" s="20"/>
      <c r="F524" s="20"/>
      <c r="G524" s="20"/>
      <c r="H524" s="20"/>
      <c r="I524" s="20"/>
      <c r="J524" s="20"/>
      <c r="K524" s="20"/>
      <c r="L524" s="21"/>
    </row>
    <row r="525" spans="1:12" x14ac:dyDescent="0.2">
      <c r="A525" s="17"/>
      <c r="B525" s="18"/>
      <c r="C525" s="19"/>
      <c r="D525" s="19"/>
      <c r="E525" s="20"/>
      <c r="F525" s="20"/>
      <c r="G525" s="20"/>
      <c r="H525" s="20"/>
      <c r="I525" s="20"/>
      <c r="J525" s="20"/>
      <c r="K525" s="20"/>
      <c r="L525" s="21"/>
    </row>
    <row r="526" spans="1:12" x14ac:dyDescent="0.2">
      <c r="A526" s="17"/>
      <c r="B526" s="18"/>
      <c r="C526" s="19"/>
      <c r="D526" s="19"/>
      <c r="E526" s="20"/>
      <c r="F526" s="20"/>
      <c r="G526" s="20"/>
      <c r="H526" s="20"/>
      <c r="I526" s="20"/>
      <c r="J526" s="20"/>
      <c r="K526" s="20"/>
      <c r="L526" s="21"/>
    </row>
    <row r="527" spans="1:12" x14ac:dyDescent="0.2">
      <c r="A527" s="17"/>
      <c r="B527" s="18"/>
      <c r="C527" s="19"/>
      <c r="D527" s="19"/>
      <c r="E527" s="20"/>
      <c r="F527" s="20"/>
      <c r="G527" s="20"/>
      <c r="H527" s="20"/>
      <c r="I527" s="20"/>
      <c r="J527" s="20"/>
      <c r="K527" s="20"/>
      <c r="L527" s="21"/>
    </row>
    <row r="528" spans="1:12" x14ac:dyDescent="0.2">
      <c r="A528" s="17"/>
      <c r="B528" s="18"/>
      <c r="C528" s="19"/>
      <c r="D528" s="19"/>
      <c r="E528" s="20"/>
      <c r="F528" s="20"/>
      <c r="G528" s="20"/>
      <c r="H528" s="20"/>
      <c r="I528" s="20"/>
      <c r="J528" s="20"/>
      <c r="K528" s="20"/>
      <c r="L528" s="21"/>
    </row>
    <row r="529" spans="1:12" x14ac:dyDescent="0.2">
      <c r="A529" s="17"/>
      <c r="B529" s="18"/>
      <c r="C529" s="19"/>
      <c r="D529" s="19"/>
      <c r="E529" s="20"/>
      <c r="F529" s="20"/>
      <c r="G529" s="20"/>
      <c r="H529" s="20"/>
      <c r="I529" s="20"/>
      <c r="J529" s="20"/>
      <c r="K529" s="20"/>
      <c r="L529" s="21"/>
    </row>
    <row r="530" spans="1:12" x14ac:dyDescent="0.2">
      <c r="A530" s="17"/>
      <c r="B530" s="18"/>
      <c r="C530" s="19"/>
      <c r="D530" s="19"/>
      <c r="E530" s="20"/>
      <c r="F530" s="20"/>
      <c r="G530" s="20"/>
      <c r="H530" s="20"/>
      <c r="I530" s="20"/>
      <c r="J530" s="20"/>
      <c r="K530" s="20"/>
      <c r="L530" s="21"/>
    </row>
    <row r="531" spans="1:12" x14ac:dyDescent="0.2">
      <c r="A531" s="17"/>
      <c r="B531" s="18"/>
      <c r="C531" s="19"/>
      <c r="D531" s="19"/>
      <c r="E531" s="20"/>
      <c r="F531" s="20"/>
      <c r="G531" s="20"/>
      <c r="H531" s="20"/>
      <c r="I531" s="20"/>
      <c r="J531" s="20"/>
      <c r="K531" s="20"/>
      <c r="L531" s="21"/>
    </row>
    <row r="532" spans="1:12" x14ac:dyDescent="0.2">
      <c r="A532" s="17"/>
      <c r="B532" s="18"/>
      <c r="C532" s="19"/>
      <c r="D532" s="19"/>
      <c r="E532" s="20"/>
      <c r="F532" s="20"/>
      <c r="G532" s="20"/>
      <c r="H532" s="20"/>
      <c r="I532" s="20"/>
      <c r="J532" s="20"/>
      <c r="K532" s="20"/>
      <c r="L532" s="21"/>
    </row>
    <row r="533" spans="1:12" x14ac:dyDescent="0.2">
      <c r="A533" s="17"/>
      <c r="B533" s="18"/>
      <c r="C533" s="19"/>
      <c r="D533" s="19"/>
      <c r="E533" s="20"/>
      <c r="F533" s="20"/>
      <c r="G533" s="20"/>
      <c r="H533" s="20"/>
      <c r="I533" s="20"/>
      <c r="J533" s="20"/>
      <c r="K533" s="20"/>
      <c r="L533" s="21"/>
    </row>
    <row r="534" spans="1:12" x14ac:dyDescent="0.2">
      <c r="A534" s="17"/>
      <c r="B534" s="18"/>
      <c r="C534" s="19"/>
      <c r="D534" s="19"/>
      <c r="E534" s="20"/>
      <c r="F534" s="20"/>
      <c r="G534" s="20"/>
      <c r="H534" s="20"/>
      <c r="I534" s="20"/>
      <c r="J534" s="20"/>
      <c r="K534" s="20"/>
      <c r="L534" s="21"/>
    </row>
    <row r="535" spans="1:12" x14ac:dyDescent="0.2">
      <c r="A535" s="17"/>
      <c r="B535" s="18"/>
      <c r="C535" s="19"/>
      <c r="D535" s="19"/>
      <c r="E535" s="20"/>
      <c r="F535" s="20"/>
      <c r="G535" s="20"/>
      <c r="H535" s="20"/>
      <c r="I535" s="20"/>
      <c r="J535" s="20"/>
      <c r="K535" s="20"/>
      <c r="L535" s="21"/>
    </row>
    <row r="536" spans="1:12" x14ac:dyDescent="0.2">
      <c r="A536" s="17"/>
      <c r="B536" s="18"/>
      <c r="C536" s="19"/>
      <c r="D536" s="19"/>
      <c r="E536" s="20"/>
      <c r="F536" s="20"/>
      <c r="G536" s="20"/>
      <c r="H536" s="20"/>
      <c r="I536" s="20"/>
      <c r="J536" s="20"/>
      <c r="K536" s="20"/>
      <c r="L536" s="21"/>
    </row>
    <row r="537" spans="1:12" x14ac:dyDescent="0.2">
      <c r="A537" s="17"/>
      <c r="B537" s="18"/>
      <c r="C537" s="19"/>
      <c r="D537" s="19"/>
      <c r="E537" s="20"/>
      <c r="F537" s="20"/>
      <c r="G537" s="20"/>
      <c r="H537" s="20"/>
      <c r="I537" s="20"/>
      <c r="J537" s="20"/>
      <c r="K537" s="20"/>
      <c r="L537" s="21"/>
    </row>
    <row r="538" spans="1:12" x14ac:dyDescent="0.2">
      <c r="A538" s="17"/>
      <c r="B538" s="18"/>
      <c r="C538" s="19"/>
      <c r="D538" s="19"/>
      <c r="E538" s="20"/>
      <c r="F538" s="20"/>
      <c r="G538" s="20"/>
      <c r="H538" s="20"/>
      <c r="I538" s="20"/>
      <c r="J538" s="20"/>
      <c r="K538" s="20"/>
      <c r="L538" s="21"/>
    </row>
    <row r="539" spans="1:12" x14ac:dyDescent="0.2">
      <c r="A539" s="17"/>
      <c r="B539" s="18"/>
      <c r="C539" s="19"/>
      <c r="D539" s="19"/>
      <c r="E539" s="20"/>
      <c r="F539" s="20"/>
      <c r="G539" s="20"/>
      <c r="H539" s="20"/>
      <c r="I539" s="20"/>
      <c r="J539" s="20"/>
      <c r="K539" s="20"/>
      <c r="L539" s="21"/>
    </row>
    <row r="540" spans="1:12" x14ac:dyDescent="0.2">
      <c r="A540" s="17"/>
      <c r="B540" s="18"/>
      <c r="C540" s="19"/>
      <c r="D540" s="19"/>
      <c r="E540" s="20"/>
      <c r="F540" s="20"/>
      <c r="G540" s="20"/>
      <c r="H540" s="20"/>
      <c r="I540" s="20"/>
      <c r="J540" s="20"/>
      <c r="K540" s="20"/>
      <c r="L540" s="21"/>
    </row>
    <row r="541" spans="1:12" x14ac:dyDescent="0.2">
      <c r="A541" s="17"/>
      <c r="B541" s="18"/>
      <c r="C541" s="19"/>
      <c r="D541" s="19"/>
      <c r="E541" s="20"/>
      <c r="F541" s="20"/>
      <c r="G541" s="20"/>
      <c r="H541" s="20"/>
      <c r="I541" s="20"/>
      <c r="J541" s="20"/>
      <c r="K541" s="20"/>
      <c r="L541" s="21"/>
    </row>
    <row r="542" spans="1:12" x14ac:dyDescent="0.2">
      <c r="A542" s="17"/>
      <c r="B542" s="18"/>
      <c r="C542" s="19"/>
      <c r="D542" s="19"/>
      <c r="E542" s="20"/>
      <c r="F542" s="20"/>
      <c r="G542" s="20"/>
      <c r="H542" s="20"/>
      <c r="I542" s="20"/>
      <c r="J542" s="20"/>
      <c r="K542" s="20"/>
      <c r="L542" s="21"/>
    </row>
    <row r="543" spans="1:12" x14ac:dyDescent="0.2">
      <c r="A543" s="17"/>
      <c r="B543" s="18"/>
      <c r="C543" s="19"/>
      <c r="D543" s="19"/>
      <c r="E543" s="20"/>
      <c r="F543" s="20"/>
      <c r="G543" s="20"/>
      <c r="H543" s="20"/>
      <c r="I543" s="20"/>
      <c r="J543" s="20"/>
      <c r="K543" s="20"/>
      <c r="L543" s="21"/>
    </row>
    <row r="544" spans="1:12" x14ac:dyDescent="0.2">
      <c r="A544" s="17"/>
      <c r="B544" s="18"/>
      <c r="C544" s="19"/>
      <c r="D544" s="19"/>
      <c r="E544" s="20"/>
      <c r="F544" s="20"/>
      <c r="G544" s="20"/>
      <c r="H544" s="20"/>
      <c r="I544" s="20"/>
      <c r="J544" s="20"/>
      <c r="K544" s="20"/>
      <c r="L544" s="21"/>
    </row>
    <row r="545" spans="1:12" x14ac:dyDescent="0.2">
      <c r="A545" s="17"/>
      <c r="B545" s="18"/>
      <c r="C545" s="19"/>
      <c r="D545" s="19"/>
      <c r="E545" s="20"/>
      <c r="F545" s="20"/>
      <c r="G545" s="20"/>
      <c r="H545" s="20"/>
      <c r="I545" s="20"/>
      <c r="J545" s="20"/>
      <c r="K545" s="20"/>
      <c r="L545" s="21"/>
    </row>
    <row r="546" spans="1:12" x14ac:dyDescent="0.2">
      <c r="A546" s="21"/>
      <c r="B546" s="21"/>
      <c r="C546" s="21"/>
      <c r="D546" s="21"/>
      <c r="E546" s="22"/>
      <c r="F546" s="22"/>
      <c r="G546" s="22"/>
      <c r="H546" s="22"/>
      <c r="I546" s="22"/>
      <c r="J546" s="22"/>
      <c r="K546" s="22"/>
      <c r="L546" s="21"/>
    </row>
  </sheetData>
  <mergeCells count="43">
    <mergeCell ref="A170:K170"/>
    <mergeCell ref="A397:K397"/>
    <mergeCell ref="A406:B406"/>
    <mergeCell ref="A421:B421"/>
    <mergeCell ref="G1:K1"/>
    <mergeCell ref="A3:K3"/>
    <mergeCell ref="H5:H6"/>
    <mergeCell ref="B4:I4"/>
    <mergeCell ref="A5:A6"/>
    <mergeCell ref="G5:G6"/>
    <mergeCell ref="F5:F6"/>
    <mergeCell ref="A17:K17"/>
    <mergeCell ref="A92:K92"/>
    <mergeCell ref="A398:K398"/>
    <mergeCell ref="A411:K411"/>
    <mergeCell ref="A445:C445"/>
    <mergeCell ref="A426:B426"/>
    <mergeCell ref="G2:K2"/>
    <mergeCell ref="A449:F449"/>
    <mergeCell ref="A436:K436"/>
    <mergeCell ref="A442:C442"/>
    <mergeCell ref="A309:B309"/>
    <mergeCell ref="A353:B353"/>
    <mergeCell ref="I5:K5"/>
    <mergeCell ref="E5:E6"/>
    <mergeCell ref="C5:C6"/>
    <mergeCell ref="D5:D6"/>
    <mergeCell ref="B5:B6"/>
    <mergeCell ref="A16:K16"/>
    <mergeCell ref="A435:K435"/>
    <mergeCell ref="A171:K171"/>
    <mergeCell ref="I449:K449"/>
    <mergeCell ref="B448:K448"/>
    <mergeCell ref="A454:F454"/>
    <mergeCell ref="A450:F450"/>
    <mergeCell ref="I450:K450"/>
    <mergeCell ref="I454:K454"/>
    <mergeCell ref="I453:K453"/>
    <mergeCell ref="A451:F451"/>
    <mergeCell ref="I451:K451"/>
    <mergeCell ref="A453:F453"/>
    <mergeCell ref="I452:K452"/>
    <mergeCell ref="A452:F452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  <rowBreaks count="16" manualBreakCount="16">
    <brk id="15" max="10" man="1"/>
    <brk id="25" max="10" man="1"/>
    <brk id="34" max="10" man="1"/>
    <brk id="58" max="10" man="1"/>
    <brk id="94" max="10" man="1"/>
    <brk id="128" max="10" man="1"/>
    <brk id="169" max="10" man="1"/>
    <brk id="179" max="10" man="1"/>
    <brk id="204" max="10" man="1"/>
    <brk id="213" max="10" man="1"/>
    <brk id="316" max="10" man="1"/>
    <brk id="330" max="10" man="1"/>
    <brk id="398" max="10" man="1"/>
    <brk id="405" max="10" man="1"/>
    <brk id="414" max="10" man="1"/>
    <brk id="4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2023-02-22T10:50:40Z</cp:lastPrinted>
  <dcterms:created xsi:type="dcterms:W3CDTF">2014-12-30T07:03:20Z</dcterms:created>
  <dcterms:modified xsi:type="dcterms:W3CDTF">2023-03-09T06:09:04Z</dcterms:modified>
</cp:coreProperties>
</file>