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135" windowWidth="28830" windowHeight="6195"/>
  </bookViews>
  <sheets>
    <sheet name="Перечень  (2)" sheetId="6" r:id="rId1"/>
    <sheet name="Изменения" sheetId="3" r:id="rId2"/>
  </sheets>
  <definedNames>
    <definedName name="_xlnm.Print_Titles" localSheetId="1">Изменения!#REF!</definedName>
    <definedName name="_xlnm.Print_Titles" localSheetId="0">'Перечень  (2)'!$5:$6</definedName>
    <definedName name="_xlnm.Print_Area" localSheetId="1">Изменения!$A$1:$I$46</definedName>
    <definedName name="_xlnm.Print_Area" localSheetId="0">'Перечень  (2)'!$A$1:$K$687</definedName>
  </definedNames>
  <calcPr calcId="145621"/>
</workbook>
</file>

<file path=xl/calcChain.xml><?xml version="1.0" encoding="utf-8"?>
<calcChain xmlns="http://schemas.openxmlformats.org/spreadsheetml/2006/main">
  <c r="I221" i="6" l="1"/>
  <c r="J219" i="6"/>
  <c r="I219" i="6"/>
  <c r="I616" i="6" l="1"/>
  <c r="I664" i="6" l="1"/>
  <c r="I466" i="6" l="1"/>
  <c r="I467" i="6"/>
  <c r="I471" i="6"/>
  <c r="I315" i="6" l="1"/>
  <c r="K448" i="6" l="1"/>
  <c r="J448" i="6"/>
  <c r="K447" i="6"/>
  <c r="I474" i="6"/>
  <c r="I473" i="6" l="1"/>
  <c r="I468" i="6"/>
  <c r="I456" i="6" l="1"/>
  <c r="I446" i="6"/>
  <c r="I445" i="6" s="1"/>
  <c r="I439" i="6"/>
  <c r="K449" i="6"/>
  <c r="K450" i="6"/>
  <c r="J450" i="6"/>
  <c r="I316" i="6"/>
  <c r="I313" i="6"/>
  <c r="I475" i="6"/>
  <c r="I312" i="6"/>
  <c r="G407" i="6" l="1"/>
  <c r="E415" i="6"/>
  <c r="G467" i="6"/>
  <c r="G228" i="6" l="1"/>
  <c r="F12" i="3" l="1"/>
  <c r="E12" i="3"/>
  <c r="D12" i="3"/>
  <c r="C12" i="3" s="1"/>
  <c r="K679" i="6"/>
  <c r="K681" i="6" s="1"/>
  <c r="K680" i="6" s="1"/>
  <c r="J679" i="6"/>
  <c r="J681" i="6" s="1"/>
  <c r="J680" i="6" s="1"/>
  <c r="I679" i="6"/>
  <c r="I681" i="6" s="1"/>
  <c r="J678" i="6"/>
  <c r="H677" i="6"/>
  <c r="K676" i="6"/>
  <c r="J676" i="6"/>
  <c r="I676" i="6"/>
  <c r="G676" i="6"/>
  <c r="K675" i="6"/>
  <c r="K674" i="6" s="1"/>
  <c r="J675" i="6"/>
  <c r="J674" i="6"/>
  <c r="K668" i="6"/>
  <c r="J668" i="6"/>
  <c r="I668" i="6"/>
  <c r="K667" i="6"/>
  <c r="K666" i="6" s="1"/>
  <c r="J667" i="6"/>
  <c r="I667" i="6"/>
  <c r="I666" i="6" s="1"/>
  <c r="H665" i="6"/>
  <c r="H664" i="6"/>
  <c r="K663" i="6"/>
  <c r="J663" i="6"/>
  <c r="J661" i="6" s="1"/>
  <c r="I663" i="6"/>
  <c r="H663" i="6" s="1"/>
  <c r="G663" i="6"/>
  <c r="K661" i="6"/>
  <c r="K659" i="6"/>
  <c r="K671" i="6" s="1"/>
  <c r="J659" i="6"/>
  <c r="J671" i="6" s="1"/>
  <c r="K658" i="6"/>
  <c r="K670" i="6" s="1"/>
  <c r="K669" i="6" s="1"/>
  <c r="J658" i="6"/>
  <c r="J670" i="6" s="1"/>
  <c r="I656" i="6"/>
  <c r="I659" i="6" s="1"/>
  <c r="I655" i="6"/>
  <c r="K654" i="6"/>
  <c r="K652" i="6" s="1"/>
  <c r="J654" i="6"/>
  <c r="J652" i="6" s="1"/>
  <c r="G654" i="6"/>
  <c r="K640" i="6"/>
  <c r="K649" i="6" s="1"/>
  <c r="J640" i="6"/>
  <c r="J649" i="6" s="1"/>
  <c r="K639" i="6"/>
  <c r="K648" i="6" s="1"/>
  <c r="J639" i="6"/>
  <c r="J648" i="6" s="1"/>
  <c r="I639" i="6"/>
  <c r="I648" i="6" s="1"/>
  <c r="K638" i="6"/>
  <c r="K647" i="6" s="1"/>
  <c r="J638" i="6"/>
  <c r="J647" i="6" s="1"/>
  <c r="K637" i="6"/>
  <c r="J637" i="6"/>
  <c r="J646" i="6" s="1"/>
  <c r="I637" i="6"/>
  <c r="I646" i="6" s="1"/>
  <c r="I635" i="6"/>
  <c r="I634" i="6"/>
  <c r="I638" i="6" s="1"/>
  <c r="K633" i="6"/>
  <c r="J633" i="6"/>
  <c r="G633" i="6"/>
  <c r="H632" i="6"/>
  <c r="H631" i="6"/>
  <c r="K630" i="6"/>
  <c r="J630" i="6"/>
  <c r="I630" i="6"/>
  <c r="G630" i="6"/>
  <c r="K625" i="6"/>
  <c r="K645" i="6" s="1"/>
  <c r="J625" i="6"/>
  <c r="J645" i="6" s="1"/>
  <c r="I625" i="6"/>
  <c r="I645" i="6" s="1"/>
  <c r="K624" i="6"/>
  <c r="K644" i="6" s="1"/>
  <c r="J624" i="6"/>
  <c r="J644" i="6" s="1"/>
  <c r="K623" i="6"/>
  <c r="K643" i="6" s="1"/>
  <c r="J623" i="6"/>
  <c r="J643" i="6" s="1"/>
  <c r="I623" i="6"/>
  <c r="I643" i="6" s="1"/>
  <c r="K622" i="6"/>
  <c r="K642" i="6" s="1"/>
  <c r="J622" i="6"/>
  <c r="J642" i="6" s="1"/>
  <c r="H620" i="6"/>
  <c r="K619" i="6"/>
  <c r="J619" i="6"/>
  <c r="I619" i="6"/>
  <c r="G619" i="6"/>
  <c r="I618" i="6"/>
  <c r="H618" i="6"/>
  <c r="H617" i="6"/>
  <c r="I622" i="6"/>
  <c r="K615" i="6"/>
  <c r="K614" i="6" s="1"/>
  <c r="J615" i="6"/>
  <c r="J614" i="6" s="1"/>
  <c r="G615" i="6"/>
  <c r="K607" i="6"/>
  <c r="I543" i="6"/>
  <c r="I542" i="6"/>
  <c r="K541" i="6"/>
  <c r="K609" i="6" s="1"/>
  <c r="J541" i="6"/>
  <c r="J609" i="6" s="1"/>
  <c r="K540" i="6"/>
  <c r="K608" i="6" s="1"/>
  <c r="J540" i="6"/>
  <c r="J608" i="6" s="1"/>
  <c r="K539" i="6"/>
  <c r="J539" i="6"/>
  <c r="J607" i="6" s="1"/>
  <c r="K538" i="6"/>
  <c r="K606" i="6" s="1"/>
  <c r="J538" i="6"/>
  <c r="J606" i="6" s="1"/>
  <c r="I538" i="6"/>
  <c r="K537" i="6"/>
  <c r="K605" i="6" s="1"/>
  <c r="J537" i="6"/>
  <c r="J605" i="6" s="1"/>
  <c r="K536" i="6"/>
  <c r="K604" i="6" s="1"/>
  <c r="J536" i="6"/>
  <c r="J604" i="6" s="1"/>
  <c r="I536" i="6"/>
  <c r="K535" i="6"/>
  <c r="K603" i="6" s="1"/>
  <c r="J535" i="6"/>
  <c r="J603" i="6" s="1"/>
  <c r="I535" i="6"/>
  <c r="K534" i="6"/>
  <c r="K602" i="6" s="1"/>
  <c r="J534" i="6"/>
  <c r="J602" i="6" s="1"/>
  <c r="I534" i="6"/>
  <c r="K533" i="6"/>
  <c r="K601" i="6" s="1"/>
  <c r="J533" i="6"/>
  <c r="J601" i="6" s="1"/>
  <c r="I533" i="6"/>
  <c r="K532" i="6"/>
  <c r="K600" i="6" s="1"/>
  <c r="J532" i="6"/>
  <c r="J600" i="6" s="1"/>
  <c r="I532" i="6"/>
  <c r="K531" i="6"/>
  <c r="K599" i="6" s="1"/>
  <c r="J531" i="6"/>
  <c r="J599" i="6" s="1"/>
  <c r="I531" i="6"/>
  <c r="I530" i="6"/>
  <c r="K529" i="6"/>
  <c r="K597" i="6" s="1"/>
  <c r="J529" i="6"/>
  <c r="J597" i="6" s="1"/>
  <c r="I529" i="6"/>
  <c r="K528" i="6"/>
  <c r="K596" i="6" s="1"/>
  <c r="J528" i="6"/>
  <c r="J596" i="6" s="1"/>
  <c r="I528" i="6"/>
  <c r="K527" i="6"/>
  <c r="K595" i="6" s="1"/>
  <c r="I527" i="6"/>
  <c r="K526" i="6"/>
  <c r="K594" i="6" s="1"/>
  <c r="K525" i="6"/>
  <c r="K593" i="6" s="1"/>
  <c r="J525" i="6"/>
  <c r="J593" i="6" s="1"/>
  <c r="I525" i="6"/>
  <c r="K524" i="6"/>
  <c r="K592" i="6" s="1"/>
  <c r="J524" i="6"/>
  <c r="J592" i="6" s="1"/>
  <c r="K523" i="6"/>
  <c r="K591" i="6" s="1"/>
  <c r="J523" i="6"/>
  <c r="J591" i="6" s="1"/>
  <c r="I523" i="6"/>
  <c r="K522" i="6"/>
  <c r="K590" i="6" s="1"/>
  <c r="J522" i="6"/>
  <c r="J590" i="6" s="1"/>
  <c r="K521" i="6"/>
  <c r="K589" i="6" s="1"/>
  <c r="J521" i="6"/>
  <c r="J589" i="6" s="1"/>
  <c r="I521" i="6"/>
  <c r="K520" i="6"/>
  <c r="K588" i="6" s="1"/>
  <c r="J520" i="6"/>
  <c r="J588" i="6" s="1"/>
  <c r="I520" i="6"/>
  <c r="K519" i="6"/>
  <c r="K587" i="6" s="1"/>
  <c r="J519" i="6"/>
  <c r="J587" i="6" s="1"/>
  <c r="I519" i="6"/>
  <c r="K518" i="6"/>
  <c r="K586" i="6" s="1"/>
  <c r="J518" i="6"/>
  <c r="J586" i="6" s="1"/>
  <c r="I518" i="6"/>
  <c r="K517" i="6"/>
  <c r="J517" i="6"/>
  <c r="J585" i="6" s="1"/>
  <c r="I517" i="6"/>
  <c r="K516" i="6"/>
  <c r="K584" i="6" s="1"/>
  <c r="J516" i="6"/>
  <c r="J584" i="6" s="1"/>
  <c r="I516" i="6"/>
  <c r="I584" i="6" s="1"/>
  <c r="K515" i="6"/>
  <c r="K583" i="6" s="1"/>
  <c r="J515" i="6"/>
  <c r="J583" i="6" s="1"/>
  <c r="K514" i="6"/>
  <c r="K582" i="6" s="1"/>
  <c r="J514" i="6"/>
  <c r="J582" i="6" s="1"/>
  <c r="K513" i="6"/>
  <c r="K581" i="6" s="1"/>
  <c r="J513" i="6"/>
  <c r="J581" i="6" s="1"/>
  <c r="K512" i="6"/>
  <c r="K580" i="6" s="1"/>
  <c r="I512" i="6"/>
  <c r="I580" i="6" s="1"/>
  <c r="K511" i="6"/>
  <c r="K579" i="6" s="1"/>
  <c r="J511" i="6"/>
  <c r="J579" i="6" s="1"/>
  <c r="I511" i="6"/>
  <c r="I579" i="6" s="1"/>
  <c r="K510" i="6"/>
  <c r="K578" i="6" s="1"/>
  <c r="I510" i="6"/>
  <c r="I578" i="6" s="1"/>
  <c r="K509" i="6"/>
  <c r="K577" i="6" s="1"/>
  <c r="J509" i="6"/>
  <c r="J577" i="6" s="1"/>
  <c r="I509" i="6"/>
  <c r="I577" i="6" s="1"/>
  <c r="K508" i="6"/>
  <c r="K576" i="6" s="1"/>
  <c r="I508" i="6"/>
  <c r="I576" i="6" s="1"/>
  <c r="K507" i="6"/>
  <c r="K575" i="6" s="1"/>
  <c r="J507" i="6"/>
  <c r="J575" i="6" s="1"/>
  <c r="I507" i="6"/>
  <c r="I575" i="6" s="1"/>
  <c r="K506" i="6"/>
  <c r="K574" i="6" s="1"/>
  <c r="J506" i="6"/>
  <c r="J574" i="6" s="1"/>
  <c r="K505" i="6"/>
  <c r="K573" i="6" s="1"/>
  <c r="J505" i="6"/>
  <c r="J573" i="6" s="1"/>
  <c r="I505" i="6"/>
  <c r="I573" i="6" s="1"/>
  <c r="K504" i="6"/>
  <c r="K572" i="6" s="1"/>
  <c r="J504" i="6"/>
  <c r="J572" i="6" s="1"/>
  <c r="I504" i="6"/>
  <c r="I572" i="6" s="1"/>
  <c r="K503" i="6"/>
  <c r="K571" i="6" s="1"/>
  <c r="J503" i="6"/>
  <c r="J571" i="6" s="1"/>
  <c r="K502" i="6"/>
  <c r="K570" i="6" s="1"/>
  <c r="J502" i="6"/>
  <c r="J570" i="6" s="1"/>
  <c r="K501" i="6"/>
  <c r="K569" i="6" s="1"/>
  <c r="J501" i="6"/>
  <c r="J569" i="6" s="1"/>
  <c r="K500" i="6"/>
  <c r="K568" i="6" s="1"/>
  <c r="J500" i="6"/>
  <c r="J568" i="6" s="1"/>
  <c r="I500" i="6"/>
  <c r="I568" i="6" s="1"/>
  <c r="K499" i="6"/>
  <c r="K567" i="6" s="1"/>
  <c r="J499" i="6"/>
  <c r="J567" i="6" s="1"/>
  <c r="I499" i="6"/>
  <c r="I567" i="6" s="1"/>
  <c r="K498" i="6"/>
  <c r="K566" i="6" s="1"/>
  <c r="J498" i="6"/>
  <c r="J566" i="6" s="1"/>
  <c r="K497" i="6"/>
  <c r="K565" i="6" s="1"/>
  <c r="J497" i="6"/>
  <c r="J565" i="6" s="1"/>
  <c r="K496" i="6"/>
  <c r="K564" i="6" s="1"/>
  <c r="J496" i="6"/>
  <c r="J564" i="6" s="1"/>
  <c r="I496" i="6"/>
  <c r="I564" i="6" s="1"/>
  <c r="K495" i="6"/>
  <c r="K563" i="6" s="1"/>
  <c r="J495" i="6"/>
  <c r="J563" i="6" s="1"/>
  <c r="I495" i="6"/>
  <c r="I563" i="6" s="1"/>
  <c r="K494" i="6"/>
  <c r="K562" i="6" s="1"/>
  <c r="J494" i="6"/>
  <c r="J562" i="6" s="1"/>
  <c r="K493" i="6"/>
  <c r="K561" i="6" s="1"/>
  <c r="J493" i="6"/>
  <c r="J561" i="6" s="1"/>
  <c r="I493" i="6"/>
  <c r="I561" i="6" s="1"/>
  <c r="K492" i="6"/>
  <c r="K560" i="6" s="1"/>
  <c r="J492" i="6"/>
  <c r="J560" i="6" s="1"/>
  <c r="I492" i="6"/>
  <c r="I560" i="6" s="1"/>
  <c r="K491" i="6"/>
  <c r="K559" i="6" s="1"/>
  <c r="J491" i="6"/>
  <c r="J559" i="6" s="1"/>
  <c r="I491" i="6"/>
  <c r="I559" i="6" s="1"/>
  <c r="K490" i="6"/>
  <c r="K558" i="6" s="1"/>
  <c r="J490" i="6"/>
  <c r="I490" i="6"/>
  <c r="K489" i="6"/>
  <c r="K557" i="6" s="1"/>
  <c r="J489" i="6"/>
  <c r="J557" i="6" s="1"/>
  <c r="I489" i="6"/>
  <c r="I557" i="6" s="1"/>
  <c r="K488" i="6"/>
  <c r="K556" i="6" s="1"/>
  <c r="J488" i="6"/>
  <c r="J556" i="6" s="1"/>
  <c r="I488" i="6"/>
  <c r="I556" i="6" s="1"/>
  <c r="K487" i="6"/>
  <c r="K555" i="6" s="1"/>
  <c r="J487" i="6"/>
  <c r="J555" i="6" s="1"/>
  <c r="K486" i="6"/>
  <c r="K554" i="6" s="1"/>
  <c r="J486" i="6"/>
  <c r="J554" i="6" s="1"/>
  <c r="K485" i="6"/>
  <c r="K553" i="6" s="1"/>
  <c r="J485" i="6"/>
  <c r="J553" i="6" s="1"/>
  <c r="K484" i="6"/>
  <c r="K552" i="6" s="1"/>
  <c r="J484" i="6"/>
  <c r="J552" i="6" s="1"/>
  <c r="K483" i="6"/>
  <c r="K551" i="6" s="1"/>
  <c r="J483" i="6"/>
  <c r="J551" i="6" s="1"/>
  <c r="I483" i="6"/>
  <c r="I551" i="6" s="1"/>
  <c r="K482" i="6"/>
  <c r="K550" i="6" s="1"/>
  <c r="J482" i="6"/>
  <c r="J550" i="6" s="1"/>
  <c r="I482" i="6"/>
  <c r="I550" i="6" s="1"/>
  <c r="K481" i="6"/>
  <c r="K549" i="6" s="1"/>
  <c r="J481" i="6"/>
  <c r="J549" i="6" s="1"/>
  <c r="K480" i="6"/>
  <c r="K548" i="6" s="1"/>
  <c r="J480" i="6"/>
  <c r="J548" i="6" s="1"/>
  <c r="K479" i="6"/>
  <c r="K547" i="6" s="1"/>
  <c r="J479" i="6"/>
  <c r="J547" i="6" s="1"/>
  <c r="I479" i="6"/>
  <c r="K478" i="6"/>
  <c r="K546" i="6" s="1"/>
  <c r="J478" i="6"/>
  <c r="J546" i="6" s="1"/>
  <c r="I541" i="6"/>
  <c r="I540" i="6"/>
  <c r="H474" i="6"/>
  <c r="H473" i="6"/>
  <c r="H472" i="6"/>
  <c r="K471" i="6"/>
  <c r="J471" i="6"/>
  <c r="G471" i="6"/>
  <c r="K470" i="6"/>
  <c r="K543" i="6" s="1"/>
  <c r="K611" i="6" s="1"/>
  <c r="J470" i="6"/>
  <c r="J543" i="6" s="1"/>
  <c r="J611" i="6" s="1"/>
  <c r="K469" i="6"/>
  <c r="J469" i="6"/>
  <c r="J542" i="6" s="1"/>
  <c r="J610" i="6" s="1"/>
  <c r="I537" i="6"/>
  <c r="H464" i="6"/>
  <c r="H463" i="6"/>
  <c r="H462" i="6"/>
  <c r="H461" i="6"/>
  <c r="K460" i="6"/>
  <c r="J460" i="6"/>
  <c r="J459" i="6" s="1"/>
  <c r="J458" i="6" s="1"/>
  <c r="I460" i="6"/>
  <c r="G460" i="6"/>
  <c r="K459" i="6"/>
  <c r="K458" i="6" s="1"/>
  <c r="H457" i="6"/>
  <c r="H456" i="6"/>
  <c r="K455" i="6"/>
  <c r="J455" i="6"/>
  <c r="I455" i="6"/>
  <c r="H455" i="6" s="1"/>
  <c r="G455" i="6"/>
  <c r="J454" i="6"/>
  <c r="J527" i="6" s="1"/>
  <c r="J595" i="6" s="1"/>
  <c r="H454" i="6"/>
  <c r="J453" i="6"/>
  <c r="I453" i="6"/>
  <c r="I452" i="6"/>
  <c r="I515" i="6" s="1"/>
  <c r="H452" i="6"/>
  <c r="K451" i="6"/>
  <c r="G451" i="6"/>
  <c r="H446" i="6"/>
  <c r="H450" i="6"/>
  <c r="H449" i="6"/>
  <c r="H448" i="6"/>
  <c r="H447" i="6"/>
  <c r="G445" i="6"/>
  <c r="H444" i="6"/>
  <c r="H443" i="6"/>
  <c r="H442" i="6"/>
  <c r="I441" i="6"/>
  <c r="I524" i="6" s="1"/>
  <c r="H440" i="6"/>
  <c r="H439" i="6"/>
  <c r="K438" i="6"/>
  <c r="J438" i="6"/>
  <c r="G438" i="6"/>
  <c r="H437" i="6"/>
  <c r="H436" i="6"/>
  <c r="H435" i="6"/>
  <c r="I434" i="6"/>
  <c r="I522" i="6" s="1"/>
  <c r="H433" i="6"/>
  <c r="K432" i="6"/>
  <c r="J432" i="6"/>
  <c r="G432" i="6"/>
  <c r="H430" i="6"/>
  <c r="H429" i="6"/>
  <c r="I428" i="6"/>
  <c r="H428" i="6" s="1"/>
  <c r="I427" i="6"/>
  <c r="I514" i="6" s="1"/>
  <c r="I426" i="6"/>
  <c r="I425" i="6"/>
  <c r="H425" i="6" s="1"/>
  <c r="K424" i="6"/>
  <c r="K423" i="6" s="1"/>
  <c r="J424" i="6"/>
  <c r="J423" i="6" s="1"/>
  <c r="G424" i="6"/>
  <c r="H420" i="6"/>
  <c r="K419" i="6"/>
  <c r="J419" i="6"/>
  <c r="I419" i="6"/>
  <c r="J418" i="6"/>
  <c r="J415" i="6" s="1"/>
  <c r="H418" i="6"/>
  <c r="H417" i="6"/>
  <c r="I416" i="6"/>
  <c r="I415" i="6" s="1"/>
  <c r="H415" i="6" s="1"/>
  <c r="K415" i="6"/>
  <c r="J414" i="6"/>
  <c r="J510" i="6" s="1"/>
  <c r="J578" i="6" s="1"/>
  <c r="H413" i="6"/>
  <c r="I412" i="6"/>
  <c r="I411" i="6" s="1"/>
  <c r="K411" i="6"/>
  <c r="E411" i="6"/>
  <c r="J410" i="6"/>
  <c r="J407" i="6" s="1"/>
  <c r="H409" i="6"/>
  <c r="I408" i="6"/>
  <c r="I407" i="6" s="1"/>
  <c r="H408" i="6"/>
  <c r="K407" i="6"/>
  <c r="H406" i="6"/>
  <c r="H405" i="6"/>
  <c r="H404" i="6"/>
  <c r="I403" i="6"/>
  <c r="I506" i="6" s="1"/>
  <c r="H403" i="6"/>
  <c r="H402" i="6"/>
  <c r="I401" i="6"/>
  <c r="I503" i="6" s="1"/>
  <c r="H400" i="6"/>
  <c r="I399" i="6"/>
  <c r="I502" i="6" s="1"/>
  <c r="J398" i="6"/>
  <c r="G398" i="6"/>
  <c r="H397" i="6"/>
  <c r="H396" i="6"/>
  <c r="H395" i="6"/>
  <c r="I394" i="6"/>
  <c r="I501" i="6" s="1"/>
  <c r="H393" i="6"/>
  <c r="I392" i="6"/>
  <c r="I498" i="6" s="1"/>
  <c r="H391" i="6"/>
  <c r="I390" i="6"/>
  <c r="K389" i="6"/>
  <c r="J389" i="6"/>
  <c r="G389" i="6"/>
  <c r="H388" i="6"/>
  <c r="H387" i="6"/>
  <c r="H386" i="6"/>
  <c r="H385" i="6"/>
  <c r="K384" i="6"/>
  <c r="J384" i="6"/>
  <c r="I384" i="6"/>
  <c r="G384" i="6"/>
  <c r="H382" i="6"/>
  <c r="H381" i="6"/>
  <c r="H380" i="6"/>
  <c r="K379" i="6"/>
  <c r="J379" i="6"/>
  <c r="I379" i="6"/>
  <c r="G379" i="6"/>
  <c r="H378" i="6"/>
  <c r="H377" i="6"/>
  <c r="H376" i="6"/>
  <c r="K375" i="6"/>
  <c r="J375" i="6"/>
  <c r="I375" i="6"/>
  <c r="I374" i="6" s="1"/>
  <c r="G375" i="6"/>
  <c r="H373" i="6"/>
  <c r="K372" i="6"/>
  <c r="J372" i="6"/>
  <c r="I372" i="6"/>
  <c r="H371" i="6"/>
  <c r="K370" i="6"/>
  <c r="J370" i="6"/>
  <c r="I370" i="6"/>
  <c r="H369" i="6"/>
  <c r="K368" i="6"/>
  <c r="J368" i="6"/>
  <c r="I368" i="6"/>
  <c r="H367" i="6"/>
  <c r="K366" i="6"/>
  <c r="J366" i="6"/>
  <c r="I366" i="6"/>
  <c r="H365" i="6"/>
  <c r="K364" i="6"/>
  <c r="J364" i="6"/>
  <c r="I364" i="6"/>
  <c r="K363" i="6"/>
  <c r="H363" i="6" s="1"/>
  <c r="J362" i="6"/>
  <c r="I362" i="6"/>
  <c r="J361" i="6"/>
  <c r="H361" i="6" s="1"/>
  <c r="K360" i="6"/>
  <c r="I360" i="6"/>
  <c r="J359" i="6"/>
  <c r="J358" i="6" s="1"/>
  <c r="K358" i="6"/>
  <c r="I358" i="6"/>
  <c r="J357" i="6"/>
  <c r="H357" i="6" s="1"/>
  <c r="K356" i="6"/>
  <c r="I356" i="6"/>
  <c r="H355" i="6"/>
  <c r="K354" i="6"/>
  <c r="J354" i="6"/>
  <c r="I354" i="6"/>
  <c r="J353" i="6"/>
  <c r="J352" i="6" s="1"/>
  <c r="K352" i="6"/>
  <c r="I352" i="6"/>
  <c r="J351" i="6"/>
  <c r="J350" i="6" s="1"/>
  <c r="K350" i="6"/>
  <c r="I350" i="6"/>
  <c r="J349" i="6"/>
  <c r="H349" i="6" s="1"/>
  <c r="K348" i="6"/>
  <c r="I348" i="6"/>
  <c r="J347" i="6"/>
  <c r="J346" i="6" s="1"/>
  <c r="K346" i="6"/>
  <c r="I346" i="6"/>
  <c r="H345" i="6"/>
  <c r="K344" i="6"/>
  <c r="J344" i="6"/>
  <c r="I344" i="6"/>
  <c r="H343" i="6"/>
  <c r="K342" i="6"/>
  <c r="J342" i="6"/>
  <c r="I342" i="6"/>
  <c r="G342" i="6"/>
  <c r="I341" i="6"/>
  <c r="I487" i="6" s="1"/>
  <c r="I340" i="6"/>
  <c r="K339" i="6"/>
  <c r="J339" i="6"/>
  <c r="E339" i="6"/>
  <c r="I338" i="6"/>
  <c r="H338" i="6" s="1"/>
  <c r="I337" i="6"/>
  <c r="I484" i="6" s="1"/>
  <c r="K336" i="6"/>
  <c r="J336" i="6"/>
  <c r="G336" i="6"/>
  <c r="H335" i="6"/>
  <c r="H334" i="6"/>
  <c r="K333" i="6"/>
  <c r="J333" i="6"/>
  <c r="I333" i="6"/>
  <c r="G333" i="6"/>
  <c r="H332" i="6"/>
  <c r="K331" i="6"/>
  <c r="J331" i="6"/>
  <c r="I331" i="6"/>
  <c r="G331" i="6"/>
  <c r="H330" i="6"/>
  <c r="K329" i="6"/>
  <c r="J329" i="6"/>
  <c r="I329" i="6"/>
  <c r="H328" i="6"/>
  <c r="K327" i="6"/>
  <c r="J327" i="6"/>
  <c r="I327" i="6"/>
  <c r="I326" i="6"/>
  <c r="H326" i="6" s="1"/>
  <c r="K325" i="6"/>
  <c r="J325" i="6"/>
  <c r="H324" i="6"/>
  <c r="K323" i="6"/>
  <c r="J323" i="6"/>
  <c r="I323" i="6"/>
  <c r="I322" i="6"/>
  <c r="H322" i="6" s="1"/>
  <c r="K321" i="6"/>
  <c r="J321" i="6"/>
  <c r="I320" i="6"/>
  <c r="I319" i="6" s="1"/>
  <c r="K319" i="6"/>
  <c r="J319" i="6"/>
  <c r="H318" i="6"/>
  <c r="H317" i="6"/>
  <c r="I480" i="6"/>
  <c r="H315" i="6"/>
  <c r="K314" i="6"/>
  <c r="J314" i="6"/>
  <c r="G314" i="6"/>
  <c r="H313" i="6"/>
  <c r="I478" i="6"/>
  <c r="I546" i="6" s="1"/>
  <c r="H546" i="6" s="1"/>
  <c r="K311" i="6"/>
  <c r="J311" i="6"/>
  <c r="I311" i="6"/>
  <c r="G311" i="6"/>
  <c r="K237" i="6"/>
  <c r="K305" i="6" s="1"/>
  <c r="J237" i="6"/>
  <c r="J305" i="6" s="1"/>
  <c r="I237" i="6"/>
  <c r="I305" i="6" s="1"/>
  <c r="K236" i="6"/>
  <c r="K304" i="6" s="1"/>
  <c r="J236" i="6"/>
  <c r="J304" i="6" s="1"/>
  <c r="I236" i="6"/>
  <c r="I304" i="6" s="1"/>
  <c r="K235" i="6"/>
  <c r="K270" i="6" s="1"/>
  <c r="K234" i="6"/>
  <c r="K265" i="6" s="1"/>
  <c r="J234" i="6"/>
  <c r="J265" i="6" s="1"/>
  <c r="K233" i="6"/>
  <c r="K264" i="6" s="1"/>
  <c r="J233" i="6"/>
  <c r="J264" i="6" s="1"/>
  <c r="K232" i="6"/>
  <c r="K263" i="6" s="1"/>
  <c r="J232" i="6"/>
  <c r="J263" i="6" s="1"/>
  <c r="H230" i="6"/>
  <c r="H229" i="6"/>
  <c r="K228" i="6"/>
  <c r="K227" i="6" s="1"/>
  <c r="J228" i="6"/>
  <c r="I228" i="6"/>
  <c r="J227" i="6"/>
  <c r="I226" i="6"/>
  <c r="I234" i="6" s="1"/>
  <c r="I225" i="6"/>
  <c r="I224" i="6"/>
  <c r="I232" i="6" s="1"/>
  <c r="K223" i="6"/>
  <c r="K222" i="6" s="1"/>
  <c r="J223" i="6"/>
  <c r="J222" i="6" s="1"/>
  <c r="G223" i="6"/>
  <c r="H221" i="6"/>
  <c r="K220" i="6"/>
  <c r="J220" i="6"/>
  <c r="I220" i="6"/>
  <c r="J235" i="6"/>
  <c r="J270" i="6" s="1"/>
  <c r="I235" i="6"/>
  <c r="K218" i="6"/>
  <c r="K217" i="6" s="1"/>
  <c r="H216" i="6"/>
  <c r="H215" i="6"/>
  <c r="G215" i="6"/>
  <c r="K214" i="6"/>
  <c r="J214" i="6"/>
  <c r="I214" i="6"/>
  <c r="K211" i="6"/>
  <c r="K303" i="6" s="1"/>
  <c r="J211" i="6"/>
  <c r="J303" i="6" s="1"/>
  <c r="I211" i="6"/>
  <c r="I303" i="6" s="1"/>
  <c r="K210" i="6"/>
  <c r="K302" i="6" s="1"/>
  <c r="I210" i="6"/>
  <c r="I302" i="6" s="1"/>
  <c r="K209" i="6"/>
  <c r="K301" i="6" s="1"/>
  <c r="J209" i="6"/>
  <c r="J301" i="6" s="1"/>
  <c r="I209" i="6"/>
  <c r="I301" i="6" s="1"/>
  <c r="K208" i="6"/>
  <c r="K300" i="6" s="1"/>
  <c r="J208" i="6"/>
  <c r="J300" i="6" s="1"/>
  <c r="I208" i="6"/>
  <c r="I300" i="6" s="1"/>
  <c r="K207" i="6"/>
  <c r="K299" i="6" s="1"/>
  <c r="I207" i="6"/>
  <c r="I299" i="6" s="1"/>
  <c r="K206" i="6"/>
  <c r="K298" i="6" s="1"/>
  <c r="J206" i="6"/>
  <c r="J298" i="6" s="1"/>
  <c r="I206" i="6"/>
  <c r="I298" i="6" s="1"/>
  <c r="K205" i="6"/>
  <c r="K297" i="6" s="1"/>
  <c r="J205" i="6"/>
  <c r="J297" i="6" s="1"/>
  <c r="I205" i="6"/>
  <c r="I297" i="6" s="1"/>
  <c r="K204" i="6"/>
  <c r="K296" i="6" s="1"/>
  <c r="J204" i="6"/>
  <c r="J296" i="6" s="1"/>
  <c r="I204" i="6"/>
  <c r="I296" i="6" s="1"/>
  <c r="K203" i="6"/>
  <c r="K295" i="6" s="1"/>
  <c r="J203" i="6"/>
  <c r="J295" i="6" s="1"/>
  <c r="I203" i="6"/>
  <c r="I295" i="6" s="1"/>
  <c r="K202" i="6"/>
  <c r="K294" i="6" s="1"/>
  <c r="J202" i="6"/>
  <c r="J294" i="6" s="1"/>
  <c r="I202" i="6"/>
  <c r="I294" i="6" s="1"/>
  <c r="K201" i="6"/>
  <c r="K293" i="6" s="1"/>
  <c r="J201" i="6"/>
  <c r="J293" i="6" s="1"/>
  <c r="I201" i="6"/>
  <c r="I293" i="6" s="1"/>
  <c r="K200" i="6"/>
  <c r="K292" i="6" s="1"/>
  <c r="J200" i="6"/>
  <c r="J292" i="6" s="1"/>
  <c r="I200" i="6"/>
  <c r="I292" i="6" s="1"/>
  <c r="K199" i="6"/>
  <c r="K291" i="6" s="1"/>
  <c r="J199" i="6"/>
  <c r="J291" i="6" s="1"/>
  <c r="I199" i="6"/>
  <c r="I291" i="6" s="1"/>
  <c r="K198" i="6"/>
  <c r="K290" i="6" s="1"/>
  <c r="J198" i="6"/>
  <c r="J290" i="6" s="1"/>
  <c r="I198" i="6"/>
  <c r="I290" i="6" s="1"/>
  <c r="K197" i="6"/>
  <c r="K289" i="6" s="1"/>
  <c r="J197" i="6"/>
  <c r="J289" i="6" s="1"/>
  <c r="I197" i="6"/>
  <c r="I289" i="6" s="1"/>
  <c r="K196" i="6"/>
  <c r="K288" i="6" s="1"/>
  <c r="J196" i="6"/>
  <c r="J288" i="6" s="1"/>
  <c r="I196" i="6"/>
  <c r="I288" i="6" s="1"/>
  <c r="K195" i="6"/>
  <c r="K287" i="6" s="1"/>
  <c r="J195" i="6"/>
  <c r="J287" i="6" s="1"/>
  <c r="I195" i="6"/>
  <c r="I287" i="6" s="1"/>
  <c r="K194" i="6"/>
  <c r="K286" i="6" s="1"/>
  <c r="J194" i="6"/>
  <c r="J286" i="6" s="1"/>
  <c r="I194" i="6"/>
  <c r="I286" i="6" s="1"/>
  <c r="K193" i="6"/>
  <c r="K285" i="6" s="1"/>
  <c r="J193" i="6"/>
  <c r="J285" i="6" s="1"/>
  <c r="I193" i="6"/>
  <c r="I285" i="6" s="1"/>
  <c r="K192" i="6"/>
  <c r="K284" i="6" s="1"/>
  <c r="J192" i="6"/>
  <c r="J284" i="6" s="1"/>
  <c r="I192" i="6"/>
  <c r="I284" i="6" s="1"/>
  <c r="K191" i="6"/>
  <c r="K283" i="6" s="1"/>
  <c r="J191" i="6"/>
  <c r="J283" i="6" s="1"/>
  <c r="I191" i="6"/>
  <c r="I283" i="6" s="1"/>
  <c r="K190" i="6"/>
  <c r="K282" i="6" s="1"/>
  <c r="J190" i="6"/>
  <c r="J282" i="6" s="1"/>
  <c r="I190" i="6"/>
  <c r="I282" i="6" s="1"/>
  <c r="K189" i="6"/>
  <c r="K281" i="6" s="1"/>
  <c r="J189" i="6"/>
  <c r="J281" i="6" s="1"/>
  <c r="I189" i="6"/>
  <c r="I281" i="6" s="1"/>
  <c r="K188" i="6"/>
  <c r="K280" i="6" s="1"/>
  <c r="J188" i="6"/>
  <c r="J280" i="6" s="1"/>
  <c r="I188" i="6"/>
  <c r="I280" i="6" s="1"/>
  <c r="K187" i="6"/>
  <c r="K279" i="6" s="1"/>
  <c r="J187" i="6"/>
  <c r="J279" i="6" s="1"/>
  <c r="I187" i="6"/>
  <c r="K186" i="6"/>
  <c r="K278" i="6" s="1"/>
  <c r="J186" i="6"/>
  <c r="J278" i="6" s="1"/>
  <c r="I186" i="6"/>
  <c r="I278" i="6" s="1"/>
  <c r="K185" i="6"/>
  <c r="K277" i="6" s="1"/>
  <c r="J185" i="6"/>
  <c r="J277" i="6" s="1"/>
  <c r="I185" i="6"/>
  <c r="I277" i="6" s="1"/>
  <c r="K184" i="6"/>
  <c r="K276" i="6" s="1"/>
  <c r="J184" i="6"/>
  <c r="J276" i="6" s="1"/>
  <c r="I184" i="6"/>
  <c r="I276" i="6" s="1"/>
  <c r="K183" i="6"/>
  <c r="K275" i="6" s="1"/>
  <c r="J183" i="6"/>
  <c r="J275" i="6" s="1"/>
  <c r="I183" i="6"/>
  <c r="K182" i="6"/>
  <c r="K274" i="6" s="1"/>
  <c r="J182" i="6"/>
  <c r="J274" i="6" s="1"/>
  <c r="I182" i="6"/>
  <c r="K181" i="6"/>
  <c r="K273" i="6" s="1"/>
  <c r="J181" i="6"/>
  <c r="J273" i="6" s="1"/>
  <c r="I181" i="6"/>
  <c r="I273" i="6" s="1"/>
  <c r="K180" i="6"/>
  <c r="K272" i="6" s="1"/>
  <c r="J180" i="6"/>
  <c r="J272" i="6" s="1"/>
  <c r="I180" i="6"/>
  <c r="I272" i="6" s="1"/>
  <c r="K179" i="6"/>
  <c r="K271" i="6" s="1"/>
  <c r="J179" i="6"/>
  <c r="I179" i="6"/>
  <c r="H177" i="6"/>
  <c r="J176" i="6"/>
  <c r="J210" i="6" s="1"/>
  <c r="J302" i="6" s="1"/>
  <c r="H175" i="6"/>
  <c r="K174" i="6"/>
  <c r="I174" i="6"/>
  <c r="G174" i="6"/>
  <c r="H173" i="6"/>
  <c r="J172" i="6"/>
  <c r="J207" i="6" s="1"/>
  <c r="J299" i="6" s="1"/>
  <c r="H171" i="6"/>
  <c r="K170" i="6"/>
  <c r="I170" i="6"/>
  <c r="G170" i="6"/>
  <c r="H168" i="6"/>
  <c r="H167" i="6"/>
  <c r="H166" i="6"/>
  <c r="H165" i="6"/>
  <c r="K164" i="6"/>
  <c r="J164" i="6"/>
  <c r="I164" i="6"/>
  <c r="G164" i="6"/>
  <c r="H163" i="6"/>
  <c r="H162" i="6"/>
  <c r="H161" i="6"/>
  <c r="H160" i="6"/>
  <c r="K159" i="6"/>
  <c r="J159" i="6"/>
  <c r="I159" i="6"/>
  <c r="G159" i="6"/>
  <c r="H158" i="6"/>
  <c r="H157" i="6"/>
  <c r="H156" i="6"/>
  <c r="H155" i="6"/>
  <c r="K154" i="6"/>
  <c r="J154" i="6"/>
  <c r="I154" i="6"/>
  <c r="G154" i="6"/>
  <c r="H153" i="6"/>
  <c r="H152" i="6"/>
  <c r="K151" i="6"/>
  <c r="J151" i="6"/>
  <c r="I151" i="6"/>
  <c r="G151" i="6"/>
  <c r="H150" i="6"/>
  <c r="H149" i="6"/>
  <c r="K148" i="6"/>
  <c r="J148" i="6"/>
  <c r="I148" i="6"/>
  <c r="E148" i="6"/>
  <c r="H147" i="6"/>
  <c r="H146" i="6"/>
  <c r="K145" i="6"/>
  <c r="J145" i="6"/>
  <c r="I145" i="6"/>
  <c r="H145" i="6" s="1"/>
  <c r="G145" i="6"/>
  <c r="H144" i="6"/>
  <c r="H143" i="6"/>
  <c r="K142" i="6"/>
  <c r="J142" i="6"/>
  <c r="I142" i="6"/>
  <c r="E142" i="6"/>
  <c r="H141" i="6"/>
  <c r="H140" i="6"/>
  <c r="K139" i="6"/>
  <c r="J139" i="6"/>
  <c r="I139" i="6"/>
  <c r="H139" i="6" s="1"/>
  <c r="E139" i="6"/>
  <c r="H138" i="6"/>
  <c r="H137" i="6"/>
  <c r="H136" i="6"/>
  <c r="H135" i="6"/>
  <c r="K134" i="6"/>
  <c r="J134" i="6"/>
  <c r="I134" i="6"/>
  <c r="G134" i="6"/>
  <c r="H133" i="6"/>
  <c r="H132" i="6"/>
  <c r="H131" i="6"/>
  <c r="H130" i="6"/>
  <c r="K129" i="6"/>
  <c r="J129" i="6"/>
  <c r="I129" i="6"/>
  <c r="G129" i="6"/>
  <c r="H128" i="6"/>
  <c r="H127" i="6"/>
  <c r="H126" i="6"/>
  <c r="H125" i="6"/>
  <c r="K124" i="6"/>
  <c r="J124" i="6"/>
  <c r="I124" i="6"/>
  <c r="G124" i="6"/>
  <c r="H123" i="6"/>
  <c r="H122" i="6"/>
  <c r="H121" i="6"/>
  <c r="H120" i="6"/>
  <c r="K119" i="6"/>
  <c r="J119" i="6"/>
  <c r="I119" i="6"/>
  <c r="G119" i="6"/>
  <c r="K115" i="6"/>
  <c r="K306" i="6" s="1"/>
  <c r="J115" i="6"/>
  <c r="J306" i="6" s="1"/>
  <c r="I115" i="6"/>
  <c r="K114" i="6"/>
  <c r="K269" i="6" s="1"/>
  <c r="J114" i="6"/>
  <c r="J269" i="6" s="1"/>
  <c r="K113" i="6"/>
  <c r="K268" i="6" s="1"/>
  <c r="J113" i="6"/>
  <c r="J268" i="6" s="1"/>
  <c r="K112" i="6"/>
  <c r="K267" i="6" s="1"/>
  <c r="J112" i="6"/>
  <c r="J267" i="6" s="1"/>
  <c r="K111" i="6"/>
  <c r="K266" i="6" s="1"/>
  <c r="J111" i="6"/>
  <c r="J266" i="6" s="1"/>
  <c r="K110" i="6"/>
  <c r="K262" i="6" s="1"/>
  <c r="J110" i="6"/>
  <c r="J262" i="6" s="1"/>
  <c r="I110" i="6"/>
  <c r="I262" i="6" s="1"/>
  <c r="K109" i="6"/>
  <c r="K261" i="6" s="1"/>
  <c r="J109" i="6"/>
  <c r="J261" i="6" s="1"/>
  <c r="I109" i="6"/>
  <c r="K108" i="6"/>
  <c r="K260" i="6" s="1"/>
  <c r="J108" i="6"/>
  <c r="J260" i="6" s="1"/>
  <c r="I108" i="6"/>
  <c r="K107" i="6"/>
  <c r="K259" i="6" s="1"/>
  <c r="J107" i="6"/>
  <c r="J259" i="6" s="1"/>
  <c r="I107" i="6"/>
  <c r="K106" i="6"/>
  <c r="K258" i="6" s="1"/>
  <c r="I106" i="6"/>
  <c r="K105" i="6"/>
  <c r="K257" i="6" s="1"/>
  <c r="I105" i="6"/>
  <c r="K104" i="6"/>
  <c r="K256" i="6" s="1"/>
  <c r="I104" i="6"/>
  <c r="K103" i="6"/>
  <c r="K255" i="6" s="1"/>
  <c r="J103" i="6"/>
  <c r="J255" i="6" s="1"/>
  <c r="I103" i="6"/>
  <c r="K102" i="6"/>
  <c r="K254" i="6" s="1"/>
  <c r="J102" i="6"/>
  <c r="J254" i="6" s="1"/>
  <c r="I102" i="6"/>
  <c r="I254" i="6" s="1"/>
  <c r="K101" i="6"/>
  <c r="K253" i="6" s="1"/>
  <c r="J101" i="6"/>
  <c r="J253" i="6" s="1"/>
  <c r="I101" i="6"/>
  <c r="K100" i="6"/>
  <c r="K252" i="6" s="1"/>
  <c r="J100" i="6"/>
  <c r="J252" i="6" s="1"/>
  <c r="I100" i="6"/>
  <c r="K99" i="6"/>
  <c r="K251" i="6" s="1"/>
  <c r="J99" i="6"/>
  <c r="J251" i="6" s="1"/>
  <c r="K98" i="6"/>
  <c r="K250" i="6" s="1"/>
  <c r="J98" i="6"/>
  <c r="J250" i="6" s="1"/>
  <c r="K97" i="6"/>
  <c r="K249" i="6" s="1"/>
  <c r="J97" i="6"/>
  <c r="J249" i="6" s="1"/>
  <c r="K96" i="6"/>
  <c r="K248" i="6" s="1"/>
  <c r="J96" i="6"/>
  <c r="J248" i="6" s="1"/>
  <c r="K95" i="6"/>
  <c r="K247" i="6" s="1"/>
  <c r="I95" i="6"/>
  <c r="K94" i="6"/>
  <c r="K246" i="6" s="1"/>
  <c r="J94" i="6"/>
  <c r="I94" i="6"/>
  <c r="I246" i="6" s="1"/>
  <c r="K93" i="6"/>
  <c r="K245" i="6" s="1"/>
  <c r="I93" i="6"/>
  <c r="K92" i="6"/>
  <c r="K244" i="6" s="1"/>
  <c r="J92" i="6"/>
  <c r="J244" i="6" s="1"/>
  <c r="I92" i="6"/>
  <c r="K91" i="6"/>
  <c r="K243" i="6" s="1"/>
  <c r="J91" i="6"/>
  <c r="J243" i="6" s="1"/>
  <c r="I91" i="6"/>
  <c r="K90" i="6"/>
  <c r="K242" i="6" s="1"/>
  <c r="J90" i="6"/>
  <c r="J242" i="6" s="1"/>
  <c r="I90" i="6"/>
  <c r="K89" i="6"/>
  <c r="K241" i="6" s="1"/>
  <c r="J89" i="6"/>
  <c r="J241" i="6" s="1"/>
  <c r="I89" i="6"/>
  <c r="K88" i="6"/>
  <c r="K240" i="6" s="1"/>
  <c r="J88" i="6"/>
  <c r="J240" i="6" s="1"/>
  <c r="I88" i="6"/>
  <c r="H85" i="6"/>
  <c r="K84" i="6"/>
  <c r="K83" i="6" s="1"/>
  <c r="J84" i="6"/>
  <c r="J83" i="6" s="1"/>
  <c r="I84" i="6"/>
  <c r="I83" i="6" s="1"/>
  <c r="G84" i="6"/>
  <c r="I82" i="6"/>
  <c r="H82" i="6" s="1"/>
  <c r="I81" i="6"/>
  <c r="H81" i="6" s="1"/>
  <c r="I80" i="6"/>
  <c r="H80" i="6" s="1"/>
  <c r="I79" i="6"/>
  <c r="H79" i="6" s="1"/>
  <c r="K78" i="6"/>
  <c r="J78" i="6"/>
  <c r="G78" i="6"/>
  <c r="H77" i="6"/>
  <c r="H76" i="6"/>
  <c r="H75" i="6"/>
  <c r="I74" i="6"/>
  <c r="H74" i="6" s="1"/>
  <c r="I73" i="6"/>
  <c r="I72" i="6"/>
  <c r="H72" i="6" s="1"/>
  <c r="H71" i="6"/>
  <c r="K70" i="6"/>
  <c r="K69" i="6" s="1"/>
  <c r="K68" i="6" s="1"/>
  <c r="J70" i="6"/>
  <c r="J69" i="6" s="1"/>
  <c r="J68" i="6" s="1"/>
  <c r="G70" i="6"/>
  <c r="H66" i="6"/>
  <c r="H65" i="6"/>
  <c r="K64" i="6"/>
  <c r="J64" i="6"/>
  <c r="I64" i="6"/>
  <c r="G64" i="6"/>
  <c r="H63" i="6"/>
  <c r="K62" i="6"/>
  <c r="J62" i="6"/>
  <c r="I62" i="6"/>
  <c r="G62" i="6"/>
  <c r="H61" i="6"/>
  <c r="H60" i="6"/>
  <c r="H59" i="6"/>
  <c r="K58" i="6"/>
  <c r="J58" i="6"/>
  <c r="I58" i="6"/>
  <c r="G58" i="6"/>
  <c r="H57" i="6"/>
  <c r="H56" i="6"/>
  <c r="K55" i="6"/>
  <c r="J55" i="6"/>
  <c r="I55" i="6"/>
  <c r="G55" i="6"/>
  <c r="H54" i="6"/>
  <c r="H53" i="6"/>
  <c r="J52" i="6"/>
  <c r="J106" i="6" s="1"/>
  <c r="H52" i="6"/>
  <c r="J51" i="6"/>
  <c r="H51" i="6" s="1"/>
  <c r="J50" i="6"/>
  <c r="H50" i="6" s="1"/>
  <c r="K49" i="6"/>
  <c r="K87" i="6" s="1"/>
  <c r="K239" i="6" s="1"/>
  <c r="J49" i="6"/>
  <c r="J87" i="6" s="1"/>
  <c r="I48" i="6"/>
  <c r="G48" i="6"/>
  <c r="H47" i="6"/>
  <c r="I46" i="6"/>
  <c r="H46" i="6" s="1"/>
  <c r="K45" i="6"/>
  <c r="J45" i="6"/>
  <c r="I45" i="6"/>
  <c r="G45" i="6"/>
  <c r="H44" i="6"/>
  <c r="I43" i="6"/>
  <c r="H43" i="6"/>
  <c r="I42" i="6"/>
  <c r="H42" i="6" s="1"/>
  <c r="I41" i="6"/>
  <c r="I98" i="6" s="1"/>
  <c r="I250" i="6" s="1"/>
  <c r="I40" i="6"/>
  <c r="I39" i="6"/>
  <c r="I96" i="6" s="1"/>
  <c r="K38" i="6"/>
  <c r="J38" i="6"/>
  <c r="G38" i="6"/>
  <c r="H37" i="6"/>
  <c r="H36" i="6"/>
  <c r="I35" i="6"/>
  <c r="I13" i="6" s="1"/>
  <c r="J34" i="6"/>
  <c r="H34" i="6" s="1"/>
  <c r="H33" i="6"/>
  <c r="H32" i="6"/>
  <c r="H31" i="6"/>
  <c r="J30" i="6"/>
  <c r="H30" i="6" s="1"/>
  <c r="H29" i="6"/>
  <c r="H28" i="6"/>
  <c r="I27" i="6"/>
  <c r="I26" i="6" s="1"/>
  <c r="K26" i="6"/>
  <c r="G26" i="6"/>
  <c r="H25" i="6"/>
  <c r="H24" i="6"/>
  <c r="H23" i="6"/>
  <c r="H22" i="6"/>
  <c r="I21" i="6"/>
  <c r="H21" i="6" s="1"/>
  <c r="K20" i="6"/>
  <c r="J20" i="6"/>
  <c r="G20" i="6"/>
  <c r="I16" i="6"/>
  <c r="H16" i="6" s="1"/>
  <c r="I15" i="6"/>
  <c r="H15" i="6" s="1"/>
  <c r="I14" i="6"/>
  <c r="H14" i="6" s="1"/>
  <c r="J11" i="6"/>
  <c r="H35" i="6" l="1"/>
  <c r="H172" i="6"/>
  <c r="J218" i="6"/>
  <c r="J217" i="6" s="1"/>
  <c r="H347" i="6"/>
  <c r="H352" i="6"/>
  <c r="H359" i="6"/>
  <c r="H366" i="6"/>
  <c r="H616" i="6"/>
  <c r="I615" i="6"/>
  <c r="K629" i="6"/>
  <c r="K628" i="6" s="1"/>
  <c r="K627" i="6" s="1"/>
  <c r="H639" i="6"/>
  <c r="K657" i="6"/>
  <c r="K678" i="6"/>
  <c r="I438" i="6"/>
  <c r="K636" i="6"/>
  <c r="H49" i="6"/>
  <c r="H83" i="6"/>
  <c r="I111" i="6"/>
  <c r="H368" i="6"/>
  <c r="J374" i="6"/>
  <c r="H441" i="6"/>
  <c r="H667" i="6"/>
  <c r="H45" i="6"/>
  <c r="H62" i="6"/>
  <c r="J170" i="6"/>
  <c r="J174" i="6"/>
  <c r="H174" i="6" s="1"/>
  <c r="I321" i="6"/>
  <c r="H321" i="6" s="1"/>
  <c r="H250" i="6"/>
  <c r="H58" i="6"/>
  <c r="I113" i="6"/>
  <c r="H88" i="6"/>
  <c r="I114" i="6"/>
  <c r="H179" i="6"/>
  <c r="H183" i="6"/>
  <c r="H187" i="6"/>
  <c r="I218" i="6"/>
  <c r="I339" i="6"/>
  <c r="H344" i="6"/>
  <c r="H358" i="6"/>
  <c r="H401" i="6"/>
  <c r="H412" i="6"/>
  <c r="H518" i="6"/>
  <c r="H39" i="6"/>
  <c r="J105" i="6"/>
  <c r="J257" i="6" s="1"/>
  <c r="H111" i="6"/>
  <c r="H154" i="6"/>
  <c r="H305" i="6"/>
  <c r="H337" i="6"/>
  <c r="K362" i="6"/>
  <c r="K310" i="6" s="1"/>
  <c r="K383" i="6"/>
  <c r="I389" i="6"/>
  <c r="H389" i="6" s="1"/>
  <c r="H394" i="6"/>
  <c r="H399" i="6"/>
  <c r="I432" i="6"/>
  <c r="H434" i="6"/>
  <c r="H490" i="6"/>
  <c r="H619" i="6"/>
  <c r="K621" i="6"/>
  <c r="H625" i="6"/>
  <c r="H656" i="6"/>
  <c r="H679" i="6"/>
  <c r="K477" i="6"/>
  <c r="I87" i="6"/>
  <c r="I239" i="6" s="1"/>
  <c r="I325" i="6"/>
  <c r="H325" i="6" s="1"/>
  <c r="I398" i="6"/>
  <c r="H398" i="6" s="1"/>
  <c r="H432" i="6"/>
  <c r="I539" i="6"/>
  <c r="I642" i="6"/>
  <c r="H622" i="6"/>
  <c r="H235" i="6"/>
  <c r="J508" i="6"/>
  <c r="J576" i="6" s="1"/>
  <c r="J26" i="6"/>
  <c r="H26" i="6" s="1"/>
  <c r="H55" i="6"/>
  <c r="J93" i="6"/>
  <c r="J245" i="6" s="1"/>
  <c r="J104" i="6"/>
  <c r="J256" i="6" s="1"/>
  <c r="H285" i="6"/>
  <c r="H293" i="6"/>
  <c r="H302" i="6"/>
  <c r="H327" i="6"/>
  <c r="H362" i="6"/>
  <c r="H379" i="6"/>
  <c r="J636" i="6"/>
  <c r="J666" i="6"/>
  <c r="I678" i="6"/>
  <c r="H678" i="6" s="1"/>
  <c r="K11" i="6"/>
  <c r="H27" i="6"/>
  <c r="H41" i="6"/>
  <c r="K48" i="6"/>
  <c r="K19" i="6" s="1"/>
  <c r="I78" i="6"/>
  <c r="H78" i="6" s="1"/>
  <c r="J95" i="6"/>
  <c r="J10" i="6" s="1"/>
  <c r="I112" i="6"/>
  <c r="H112" i="6" s="1"/>
  <c r="H134" i="6"/>
  <c r="J118" i="6"/>
  <c r="K169" i="6"/>
  <c r="H219" i="6"/>
  <c r="J213" i="6"/>
  <c r="H341" i="6"/>
  <c r="H351" i="6"/>
  <c r="H392" i="6"/>
  <c r="H410" i="6"/>
  <c r="H416" i="6"/>
  <c r="H427" i="6"/>
  <c r="K530" i="6"/>
  <c r="K598" i="6" s="1"/>
  <c r="K445" i="6"/>
  <c r="H453" i="6"/>
  <c r="H468" i="6"/>
  <c r="H573" i="6"/>
  <c r="J657" i="6"/>
  <c r="H668" i="6"/>
  <c r="J621" i="6"/>
  <c r="I99" i="6"/>
  <c r="H99" i="6" s="1"/>
  <c r="K118" i="6"/>
  <c r="H159" i="6"/>
  <c r="H281" i="6"/>
  <c r="H289" i="6"/>
  <c r="H297" i="6"/>
  <c r="K213" i="6"/>
  <c r="I494" i="6"/>
  <c r="H494" i="6" s="1"/>
  <c r="J669" i="6"/>
  <c r="I20" i="6"/>
  <c r="K67" i="6"/>
  <c r="H84" i="6"/>
  <c r="H254" i="6"/>
  <c r="H142" i="6"/>
  <c r="H151" i="6"/>
  <c r="H299" i="6"/>
  <c r="H176" i="6"/>
  <c r="H182" i="6"/>
  <c r="H186" i="6"/>
  <c r="H282" i="6"/>
  <c r="H286" i="6"/>
  <c r="H290" i="6"/>
  <c r="H294" i="6"/>
  <c r="H298" i="6"/>
  <c r="H228" i="6"/>
  <c r="H331" i="6"/>
  <c r="H342" i="6"/>
  <c r="H370" i="6"/>
  <c r="K374" i="6"/>
  <c r="K309" i="6" s="1"/>
  <c r="J530" i="6"/>
  <c r="J598" i="6" s="1"/>
  <c r="J445" i="6"/>
  <c r="J431" i="6" s="1"/>
  <c r="H623" i="6"/>
  <c r="H634" i="6"/>
  <c r="I661" i="6"/>
  <c r="H661" i="6" s="1"/>
  <c r="K9" i="6"/>
  <c r="H303" i="6"/>
  <c r="K10" i="6"/>
  <c r="H273" i="6"/>
  <c r="H277" i="6"/>
  <c r="H283" i="6"/>
  <c r="H287" i="6"/>
  <c r="H291" i="6"/>
  <c r="H295" i="6"/>
  <c r="J231" i="6"/>
  <c r="H551" i="6"/>
  <c r="H556" i="6"/>
  <c r="H557" i="6"/>
  <c r="H577" i="6"/>
  <c r="K238" i="6"/>
  <c r="H262" i="6"/>
  <c r="I178" i="6"/>
  <c r="H301" i="6"/>
  <c r="H304" i="6"/>
  <c r="I274" i="6"/>
  <c r="H274" i="6" s="1"/>
  <c r="J258" i="6"/>
  <c r="J86" i="6"/>
  <c r="I268" i="6"/>
  <c r="H268" i="6" s="1"/>
  <c r="H113" i="6"/>
  <c r="H13" i="6"/>
  <c r="I12" i="6"/>
  <c r="H12" i="6" s="1"/>
  <c r="H40" i="6"/>
  <c r="I38" i="6"/>
  <c r="J67" i="6"/>
  <c r="H73" i="6"/>
  <c r="J239" i="6"/>
  <c r="H89" i="6"/>
  <c r="H93" i="6"/>
  <c r="I245" i="6"/>
  <c r="H245" i="6" s="1"/>
  <c r="J246" i="6"/>
  <c r="H246" i="6" s="1"/>
  <c r="I97" i="6"/>
  <c r="H101" i="6"/>
  <c r="I253" i="6"/>
  <c r="H253" i="6" s="1"/>
  <c r="H105" i="6"/>
  <c r="I257" i="6"/>
  <c r="H257" i="6" s="1"/>
  <c r="H109" i="6"/>
  <c r="I261" i="6"/>
  <c r="H261" i="6" s="1"/>
  <c r="H148" i="6"/>
  <c r="H272" i="6"/>
  <c r="H276" i="6"/>
  <c r="H280" i="6"/>
  <c r="H284" i="6"/>
  <c r="H288" i="6"/>
  <c r="H292" i="6"/>
  <c r="H296" i="6"/>
  <c r="H214" i="6"/>
  <c r="I217" i="6"/>
  <c r="H220" i="6"/>
  <c r="H232" i="6"/>
  <c r="I263" i="6"/>
  <c r="H263" i="6" s="1"/>
  <c r="K231" i="6"/>
  <c r="I270" i="6"/>
  <c r="H270" i="6" s="1"/>
  <c r="I244" i="6"/>
  <c r="H244" i="6" s="1"/>
  <c r="H92" i="6"/>
  <c r="I248" i="6"/>
  <c r="H248" i="6" s="1"/>
  <c r="H96" i="6"/>
  <c r="I252" i="6"/>
  <c r="H252" i="6" s="1"/>
  <c r="H100" i="6"/>
  <c r="I256" i="6"/>
  <c r="H104" i="6"/>
  <c r="I260" i="6"/>
  <c r="H260" i="6" s="1"/>
  <c r="H108" i="6"/>
  <c r="I267" i="6"/>
  <c r="H267" i="6" s="1"/>
  <c r="H170" i="6"/>
  <c r="I169" i="6"/>
  <c r="I233" i="6"/>
  <c r="I223" i="6"/>
  <c r="H225" i="6"/>
  <c r="I240" i="6"/>
  <c r="H240" i="6" s="1"/>
  <c r="I266" i="6"/>
  <c r="H266" i="6" s="1"/>
  <c r="K86" i="6"/>
  <c r="H103" i="6"/>
  <c r="I255" i="6"/>
  <c r="H255" i="6" s="1"/>
  <c r="H107" i="6"/>
  <c r="I259" i="6"/>
  <c r="H259" i="6" s="1"/>
  <c r="I306" i="6"/>
  <c r="H306" i="6" s="1"/>
  <c r="H115" i="6"/>
  <c r="H119" i="6"/>
  <c r="J271" i="6"/>
  <c r="J178" i="6"/>
  <c r="I265" i="6"/>
  <c r="H265" i="6" s="1"/>
  <c r="H234" i="6"/>
  <c r="I11" i="6"/>
  <c r="H11" i="6" s="1"/>
  <c r="I241" i="6"/>
  <c r="H241" i="6" s="1"/>
  <c r="H278" i="6"/>
  <c r="H91" i="6"/>
  <c r="I243" i="6"/>
  <c r="H243" i="6" s="1"/>
  <c r="H95" i="6"/>
  <c r="I247" i="6"/>
  <c r="H20" i="6"/>
  <c r="J48" i="6"/>
  <c r="H64" i="6"/>
  <c r="H87" i="6"/>
  <c r="H90" i="6"/>
  <c r="H94" i="6"/>
  <c r="J247" i="6"/>
  <c r="H98" i="6"/>
  <c r="H102" i="6"/>
  <c r="H106" i="6"/>
  <c r="H110" i="6"/>
  <c r="H114" i="6"/>
  <c r="I269" i="6"/>
  <c r="H269" i="6" s="1"/>
  <c r="I118" i="6"/>
  <c r="H124" i="6"/>
  <c r="H129" i="6"/>
  <c r="H164" i="6"/>
  <c r="K178" i="6"/>
  <c r="H300" i="6"/>
  <c r="I227" i="6"/>
  <c r="H227" i="6" s="1"/>
  <c r="I242" i="6"/>
  <c r="H242" i="6" s="1"/>
  <c r="I258" i="6"/>
  <c r="I271" i="6"/>
  <c r="I275" i="6"/>
  <c r="H275" i="6" s="1"/>
  <c r="I279" i="6"/>
  <c r="H279" i="6" s="1"/>
  <c r="I548" i="6"/>
  <c r="H548" i="6" s="1"/>
  <c r="H480" i="6"/>
  <c r="H319" i="6"/>
  <c r="H329" i="6"/>
  <c r="H339" i="6"/>
  <c r="H350" i="6"/>
  <c r="H364" i="6"/>
  <c r="H390" i="6"/>
  <c r="I497" i="6"/>
  <c r="H506" i="6"/>
  <c r="I574" i="6"/>
  <c r="H574" i="6" s="1"/>
  <c r="H414" i="6"/>
  <c r="J411" i="6"/>
  <c r="H411" i="6" s="1"/>
  <c r="H514" i="6"/>
  <c r="I582" i="6"/>
  <c r="H582" i="6" s="1"/>
  <c r="I590" i="6"/>
  <c r="H590" i="6" s="1"/>
  <c r="H522" i="6"/>
  <c r="J526" i="6"/>
  <c r="J594" i="6" s="1"/>
  <c r="J451" i="6"/>
  <c r="H478" i="6"/>
  <c r="I547" i="6"/>
  <c r="H547" i="6" s="1"/>
  <c r="H479" i="6"/>
  <c r="H550" i="6"/>
  <c r="J558" i="6"/>
  <c r="P478" i="6"/>
  <c r="H561" i="6"/>
  <c r="H510" i="6"/>
  <c r="K585" i="6"/>
  <c r="Q477" i="6"/>
  <c r="I587" i="6"/>
  <c r="H587" i="6" s="1"/>
  <c r="H519" i="6"/>
  <c r="I595" i="6"/>
  <c r="H595" i="6" s="1"/>
  <c r="H527" i="6"/>
  <c r="I607" i="6"/>
  <c r="H607" i="6" s="1"/>
  <c r="H539" i="6"/>
  <c r="H316" i="6"/>
  <c r="I314" i="6"/>
  <c r="H314" i="6" s="1"/>
  <c r="I481" i="6"/>
  <c r="I555" i="6"/>
  <c r="H555" i="6" s="1"/>
  <c r="H487" i="6"/>
  <c r="I571" i="6"/>
  <c r="H571" i="6" s="1"/>
  <c r="H503" i="6"/>
  <c r="I603" i="6"/>
  <c r="H603" i="6" s="1"/>
  <c r="H535" i="6"/>
  <c r="I70" i="6"/>
  <c r="H180" i="6"/>
  <c r="H181" i="6"/>
  <c r="H184" i="6"/>
  <c r="H185" i="6"/>
  <c r="H188" i="6"/>
  <c r="H189" i="6"/>
  <c r="H190" i="6"/>
  <c r="H191" i="6"/>
  <c r="H192" i="6"/>
  <c r="H193" i="6"/>
  <c r="H194" i="6"/>
  <c r="H195" i="6"/>
  <c r="H196" i="6"/>
  <c r="H197" i="6"/>
  <c r="H198" i="6"/>
  <c r="H199" i="6"/>
  <c r="H200" i="6"/>
  <c r="H201" i="6"/>
  <c r="H202" i="6"/>
  <c r="H203" i="6"/>
  <c r="H204" i="6"/>
  <c r="H205" i="6"/>
  <c r="H206" i="6"/>
  <c r="H207" i="6"/>
  <c r="H208" i="6"/>
  <c r="H209" i="6"/>
  <c r="H210" i="6"/>
  <c r="H211" i="6"/>
  <c r="H224" i="6"/>
  <c r="H226" i="6"/>
  <c r="H236" i="6"/>
  <c r="H237" i="6"/>
  <c r="H323" i="6"/>
  <c r="I336" i="6"/>
  <c r="H336" i="6" s="1"/>
  <c r="I485" i="6"/>
  <c r="H346" i="6"/>
  <c r="J348" i="6"/>
  <c r="H348" i="6" s="1"/>
  <c r="J477" i="6"/>
  <c r="H354" i="6"/>
  <c r="J356" i="6"/>
  <c r="H356" i="6" s="1"/>
  <c r="H372" i="6"/>
  <c r="H375" i="6"/>
  <c r="I383" i="6"/>
  <c r="H384" i="6"/>
  <c r="I569" i="6"/>
  <c r="H569" i="6" s="1"/>
  <c r="H501" i="6"/>
  <c r="I570" i="6"/>
  <c r="H570" i="6" s="1"/>
  <c r="H502" i="6"/>
  <c r="H407" i="6"/>
  <c r="H419" i="6"/>
  <c r="H426" i="6"/>
  <c r="I424" i="6"/>
  <c r="I513" i="6"/>
  <c r="I583" i="6"/>
  <c r="H583" i="6" s="1"/>
  <c r="H515" i="6"/>
  <c r="I608" i="6"/>
  <c r="H608" i="6" s="1"/>
  <c r="H540" i="6"/>
  <c r="I552" i="6"/>
  <c r="H552" i="6" s="1"/>
  <c r="H484" i="6"/>
  <c r="H578" i="6"/>
  <c r="I647" i="6"/>
  <c r="H647" i="6" s="1"/>
  <c r="H638" i="6"/>
  <c r="K542" i="6"/>
  <c r="K610" i="6" s="1"/>
  <c r="K467" i="6"/>
  <c r="K466" i="6" s="1"/>
  <c r="K465" i="6" s="1"/>
  <c r="I599" i="6"/>
  <c r="H599" i="6" s="1"/>
  <c r="H531" i="6"/>
  <c r="H311" i="6"/>
  <c r="H312" i="6"/>
  <c r="I477" i="6"/>
  <c r="H320" i="6"/>
  <c r="H333" i="6"/>
  <c r="I486" i="6"/>
  <c r="H340" i="6"/>
  <c r="H353" i="6"/>
  <c r="J360" i="6"/>
  <c r="H360" i="6" s="1"/>
  <c r="H498" i="6"/>
  <c r="I566" i="6"/>
  <c r="H566" i="6" s="1"/>
  <c r="I592" i="6"/>
  <c r="H592" i="6" s="1"/>
  <c r="H524" i="6"/>
  <c r="H460" i="6"/>
  <c r="I459" i="6"/>
  <c r="I605" i="6"/>
  <c r="H605" i="6" s="1"/>
  <c r="H537" i="6"/>
  <c r="I609" i="6"/>
  <c r="H609" i="6" s="1"/>
  <c r="H541" i="6"/>
  <c r="K545" i="6"/>
  <c r="K476" i="6"/>
  <c r="O478" i="6"/>
  <c r="J512" i="6"/>
  <c r="J580" i="6" s="1"/>
  <c r="H580" i="6" s="1"/>
  <c r="I591" i="6"/>
  <c r="H591" i="6" s="1"/>
  <c r="H523" i="6"/>
  <c r="I562" i="6"/>
  <c r="H562" i="6" s="1"/>
  <c r="H645" i="6"/>
  <c r="H559" i="6"/>
  <c r="H560" i="6"/>
  <c r="H563" i="6"/>
  <c r="H564" i="6"/>
  <c r="H567" i="6"/>
  <c r="H568" i="6"/>
  <c r="H572" i="6"/>
  <c r="H575" i="6"/>
  <c r="H576" i="6"/>
  <c r="H579" i="6"/>
  <c r="H584" i="6"/>
  <c r="I588" i="6"/>
  <c r="H588" i="6" s="1"/>
  <c r="H520" i="6"/>
  <c r="I596" i="6"/>
  <c r="H596" i="6" s="1"/>
  <c r="H528" i="6"/>
  <c r="I600" i="6"/>
  <c r="H600" i="6" s="1"/>
  <c r="H532" i="6"/>
  <c r="I604" i="6"/>
  <c r="H604" i="6" s="1"/>
  <c r="H536" i="6"/>
  <c r="I611" i="6"/>
  <c r="H611" i="6" s="1"/>
  <c r="H543" i="6"/>
  <c r="H655" i="6"/>
  <c r="I658" i="6"/>
  <c r="I654" i="6"/>
  <c r="I451" i="6"/>
  <c r="H470" i="6"/>
  <c r="I526" i="6"/>
  <c r="I598" i="6"/>
  <c r="I602" i="6"/>
  <c r="H602" i="6" s="1"/>
  <c r="H534" i="6"/>
  <c r="I606" i="6"/>
  <c r="H606" i="6" s="1"/>
  <c r="H538" i="6"/>
  <c r="I610" i="6"/>
  <c r="I558" i="6"/>
  <c r="J467" i="6"/>
  <c r="H469" i="6"/>
  <c r="H475" i="6"/>
  <c r="Q478" i="6"/>
  <c r="H482" i="6"/>
  <c r="H483" i="6"/>
  <c r="H488" i="6"/>
  <c r="H489" i="6"/>
  <c r="H491" i="6"/>
  <c r="H492" i="6"/>
  <c r="H493" i="6"/>
  <c r="H495" i="6"/>
  <c r="H496" i="6"/>
  <c r="H499" i="6"/>
  <c r="H500" i="6"/>
  <c r="H504" i="6"/>
  <c r="H505" i="6"/>
  <c r="H507" i="6"/>
  <c r="H508" i="6"/>
  <c r="H509" i="6"/>
  <c r="H511" i="6"/>
  <c r="H516" i="6"/>
  <c r="H517" i="6"/>
  <c r="I585" i="6"/>
  <c r="I589" i="6"/>
  <c r="H589" i="6" s="1"/>
  <c r="H521" i="6"/>
  <c r="I593" i="6"/>
  <c r="H593" i="6" s="1"/>
  <c r="H525" i="6"/>
  <c r="I597" i="6"/>
  <c r="H597" i="6" s="1"/>
  <c r="H529" i="6"/>
  <c r="I601" i="6"/>
  <c r="H601" i="6" s="1"/>
  <c r="H533" i="6"/>
  <c r="I586" i="6"/>
  <c r="H586" i="6" s="1"/>
  <c r="K646" i="6"/>
  <c r="K641" i="6" s="1"/>
  <c r="H637" i="6"/>
  <c r="H642" i="6"/>
  <c r="H643" i="6"/>
  <c r="H635" i="6"/>
  <c r="I640" i="6"/>
  <c r="I633" i="6"/>
  <c r="H648" i="6"/>
  <c r="I671" i="6"/>
  <c r="H671" i="6" s="1"/>
  <c r="H659" i="6"/>
  <c r="H615" i="6"/>
  <c r="I614" i="6"/>
  <c r="H614" i="6" s="1"/>
  <c r="J641" i="6"/>
  <c r="H676" i="6"/>
  <c r="I675" i="6"/>
  <c r="J629" i="6"/>
  <c r="J628" i="6" s="1"/>
  <c r="J627" i="6" s="1"/>
  <c r="H630" i="6"/>
  <c r="H666" i="6"/>
  <c r="H681" i="6"/>
  <c r="I680" i="6"/>
  <c r="H680" i="6" s="1"/>
  <c r="I624" i="6"/>
  <c r="I10" i="6" s="1"/>
  <c r="C43" i="3"/>
  <c r="D44" i="3"/>
  <c r="F19" i="3"/>
  <c r="F40" i="3"/>
  <c r="E40" i="3"/>
  <c r="E17" i="3"/>
  <c r="F41" i="3"/>
  <c r="E41" i="3"/>
  <c r="E37" i="3"/>
  <c r="D29" i="3"/>
  <c r="D23" i="3"/>
  <c r="D11" i="3"/>
  <c r="D8" i="3"/>
  <c r="F32" i="3"/>
  <c r="E32" i="3"/>
  <c r="D32" i="3"/>
  <c r="C33" i="3"/>
  <c r="H218" i="6" l="1"/>
  <c r="H530" i="6"/>
  <c r="J8" i="6"/>
  <c r="H598" i="6"/>
  <c r="H438" i="6"/>
  <c r="I431" i="6"/>
  <c r="K431" i="6"/>
  <c r="K422" i="6" s="1"/>
  <c r="K421" i="6" s="1"/>
  <c r="J422" i="6"/>
  <c r="J421" i="6" s="1"/>
  <c r="J169" i="6"/>
  <c r="J117" i="6" s="1"/>
  <c r="H10" i="6"/>
  <c r="H256" i="6"/>
  <c r="P477" i="6"/>
  <c r="H169" i="6"/>
  <c r="K117" i="6"/>
  <c r="H258" i="6"/>
  <c r="I86" i="6"/>
  <c r="M86" i="6" s="1"/>
  <c r="H374" i="6"/>
  <c r="H512" i="6"/>
  <c r="H558" i="6"/>
  <c r="J383" i="6"/>
  <c r="H585" i="6"/>
  <c r="I251" i="6"/>
  <c r="H251" i="6" s="1"/>
  <c r="H445" i="6"/>
  <c r="H383" i="6"/>
  <c r="H178" i="6"/>
  <c r="H247" i="6"/>
  <c r="H646" i="6"/>
  <c r="H610" i="6"/>
  <c r="O485" i="6"/>
  <c r="I554" i="6"/>
  <c r="H554" i="6" s="1"/>
  <c r="H486" i="6"/>
  <c r="H70" i="6"/>
  <c r="I69" i="6"/>
  <c r="I549" i="6"/>
  <c r="H549" i="6" s="1"/>
  <c r="H481" i="6"/>
  <c r="I310" i="6"/>
  <c r="Q476" i="6"/>
  <c r="Q479" i="6" s="1"/>
  <c r="I9" i="6"/>
  <c r="I264" i="6"/>
  <c r="H264" i="6" s="1"/>
  <c r="H233" i="6"/>
  <c r="I231" i="6"/>
  <c r="H231" i="6" s="1"/>
  <c r="J238" i="6"/>
  <c r="H38" i="6"/>
  <c r="I19" i="6"/>
  <c r="H239" i="6"/>
  <c r="I581" i="6"/>
  <c r="H581" i="6" s="1"/>
  <c r="H513" i="6"/>
  <c r="I553" i="6"/>
  <c r="H553" i="6" s="1"/>
  <c r="H485" i="6"/>
  <c r="O477" i="6"/>
  <c r="J466" i="6"/>
  <c r="J465" i="6" s="1"/>
  <c r="H467" i="6"/>
  <c r="K544" i="6"/>
  <c r="I423" i="6"/>
  <c r="H423" i="6" s="1"/>
  <c r="H424" i="6"/>
  <c r="J545" i="6"/>
  <c r="J544" i="6" s="1"/>
  <c r="J476" i="6"/>
  <c r="P476" i="6"/>
  <c r="L118" i="6"/>
  <c r="H217" i="6"/>
  <c r="H97" i="6"/>
  <c r="I249" i="6"/>
  <c r="H249" i="6" s="1"/>
  <c r="K8" i="6"/>
  <c r="K7" i="6" s="1"/>
  <c r="I674" i="6"/>
  <c r="H674" i="6" s="1"/>
  <c r="H675" i="6"/>
  <c r="H451" i="6"/>
  <c r="L310" i="6"/>
  <c r="I629" i="6"/>
  <c r="H633" i="6"/>
  <c r="H654" i="6"/>
  <c r="I652" i="6"/>
  <c r="H652" i="6" s="1"/>
  <c r="I644" i="6"/>
  <c r="I621" i="6"/>
  <c r="H621" i="6" s="1"/>
  <c r="H624" i="6"/>
  <c r="I649" i="6"/>
  <c r="H649" i="6" s="1"/>
  <c r="H640" i="6"/>
  <c r="H471" i="6"/>
  <c r="H542" i="6"/>
  <c r="I594" i="6"/>
  <c r="H594" i="6" s="1"/>
  <c r="H526" i="6"/>
  <c r="I670" i="6"/>
  <c r="H658" i="6"/>
  <c r="I657" i="6"/>
  <c r="H657" i="6" s="1"/>
  <c r="H459" i="6"/>
  <c r="I458" i="6"/>
  <c r="H458" i="6" s="1"/>
  <c r="I545" i="6"/>
  <c r="O476" i="6"/>
  <c r="H477" i="6"/>
  <c r="I476" i="6"/>
  <c r="I636" i="6"/>
  <c r="H636" i="6" s="1"/>
  <c r="L383" i="6"/>
  <c r="J310" i="6"/>
  <c r="J309" i="6" s="1"/>
  <c r="I565" i="6"/>
  <c r="H565" i="6" s="1"/>
  <c r="H497" i="6"/>
  <c r="H271" i="6"/>
  <c r="H118" i="6"/>
  <c r="I117" i="6"/>
  <c r="I8" i="6"/>
  <c r="H48" i="6"/>
  <c r="J19" i="6"/>
  <c r="H19" i="6" s="1"/>
  <c r="H223" i="6"/>
  <c r="I222" i="6"/>
  <c r="H222" i="6" s="1"/>
  <c r="J9" i="6"/>
  <c r="C32" i="3"/>
  <c r="J7" i="6" l="1"/>
  <c r="L431" i="6"/>
  <c r="P479" i="6"/>
  <c r="O484" i="6"/>
  <c r="H117" i="6"/>
  <c r="L178" i="6" s="1"/>
  <c r="N178" i="6" s="1"/>
  <c r="L476" i="6"/>
  <c r="L19" i="6"/>
  <c r="N19" i="6" s="1"/>
  <c r="H8" i="6"/>
  <c r="I7" i="6"/>
  <c r="L7" i="6" s="1"/>
  <c r="I544" i="6"/>
  <c r="L544" i="6" s="1"/>
  <c r="H545" i="6"/>
  <c r="M544" i="6" s="1"/>
  <c r="H644" i="6"/>
  <c r="L641" i="6" s="1"/>
  <c r="I641" i="6"/>
  <c r="H641" i="6" s="1"/>
  <c r="I628" i="6"/>
  <c r="H629" i="6"/>
  <c r="I238" i="6"/>
  <c r="H238" i="6" s="1"/>
  <c r="I68" i="6"/>
  <c r="H69" i="6"/>
  <c r="I669" i="6"/>
  <c r="H669" i="6" s="1"/>
  <c r="H670" i="6"/>
  <c r="H466" i="6"/>
  <c r="I465" i="6"/>
  <c r="H465" i="6" s="1"/>
  <c r="H310" i="6"/>
  <c r="L309" i="6" s="1"/>
  <c r="I309" i="6"/>
  <c r="H309" i="6" s="1"/>
  <c r="M476" i="6"/>
  <c r="I213" i="6"/>
  <c r="H213" i="6" s="1"/>
  <c r="L465" i="6"/>
  <c r="M238" i="6"/>
  <c r="O483" i="6"/>
  <c r="O479" i="6"/>
  <c r="H431" i="6"/>
  <c r="L421" i="6" s="1"/>
  <c r="I422" i="6"/>
  <c r="H9" i="6"/>
  <c r="E36" i="3"/>
  <c r="E15" i="3"/>
  <c r="E13" i="3"/>
  <c r="O486" i="6" l="1"/>
  <c r="I627" i="6"/>
  <c r="H627" i="6" s="1"/>
  <c r="H628" i="6"/>
  <c r="H422" i="6"/>
  <c r="I421" i="6"/>
  <c r="H421" i="6" s="1"/>
  <c r="H476" i="6" s="1"/>
  <c r="H544" i="6" s="1"/>
  <c r="L6" i="6" s="1"/>
  <c r="M6" i="6" s="1"/>
  <c r="H68" i="6"/>
  <c r="I67" i="6"/>
  <c r="H67" i="6" s="1"/>
  <c r="H86" i="6" s="1"/>
  <c r="L238" i="6" s="1"/>
  <c r="H7" i="6"/>
  <c r="D46" i="3" l="1"/>
  <c r="D5" i="3"/>
  <c r="D45" i="3" l="1"/>
  <c r="D42" i="3" s="1"/>
  <c r="D10" i="3"/>
  <c r="D7" i="3"/>
  <c r="D4" i="3"/>
  <c r="D39" i="3" l="1"/>
  <c r="D35" i="3" l="1"/>
  <c r="D27" i="3" l="1"/>
  <c r="D21" i="3"/>
  <c r="D31" i="3" l="1"/>
  <c r="C30" i="3"/>
  <c r="C28" i="3"/>
  <c r="D25" i="3"/>
  <c r="C24" i="3"/>
  <c r="C22" i="3"/>
  <c r="E26" i="3" l="1"/>
  <c r="F20" i="3"/>
  <c r="E20" i="3"/>
  <c r="C37" i="3" l="1"/>
  <c r="E34" i="3"/>
  <c r="D36" i="3"/>
  <c r="F34" i="3"/>
  <c r="D34" i="3" l="1"/>
  <c r="D26" i="3"/>
  <c r="C31" i="3"/>
  <c r="C29" i="3"/>
  <c r="D20" i="3"/>
  <c r="C25" i="3"/>
  <c r="C23" i="3"/>
  <c r="D9" i="3" l="1"/>
  <c r="C11" i="3"/>
  <c r="D6" i="3"/>
  <c r="C8" i="3"/>
  <c r="C46" i="3"/>
  <c r="C36" i="3" l="1"/>
  <c r="F42" i="3"/>
  <c r="E42" i="3"/>
  <c r="C45" i="3"/>
  <c r="C27" i="3" l="1"/>
  <c r="C21" i="3"/>
  <c r="C10" i="3"/>
  <c r="F9" i="3"/>
  <c r="E9" i="3"/>
  <c r="F6" i="3"/>
  <c r="E6" i="3"/>
  <c r="C7" i="3"/>
  <c r="D38" i="3"/>
  <c r="F38" i="3"/>
  <c r="E38" i="3"/>
  <c r="C39" i="3"/>
  <c r="C38" i="3" l="1"/>
  <c r="C44" i="3"/>
  <c r="C9" i="3"/>
  <c r="C6" i="3"/>
  <c r="C42" i="3"/>
  <c r="C26" i="3" l="1"/>
  <c r="C20" i="3"/>
  <c r="C35" i="3" l="1"/>
  <c r="C34" i="3" l="1"/>
  <c r="C15" i="3"/>
  <c r="F14" i="3"/>
  <c r="E14" i="3"/>
  <c r="D14" i="3"/>
  <c r="C14" i="3" l="1"/>
  <c r="D3" i="3" l="1"/>
  <c r="D16" i="3"/>
  <c r="D18" i="3"/>
  <c r="E3" i="3"/>
  <c r="F3" i="3"/>
  <c r="E16" i="3"/>
  <c r="F16" i="3"/>
  <c r="E18" i="3"/>
  <c r="F18" i="3"/>
  <c r="C19" i="3"/>
  <c r="C17" i="3"/>
  <c r="C41" i="3"/>
  <c r="C40" i="3"/>
  <c r="C13" i="3"/>
  <c r="C5" i="3"/>
  <c r="C4" i="3"/>
  <c r="C18" i="3" l="1"/>
  <c r="C3" i="3"/>
  <c r="C16" i="3"/>
</calcChain>
</file>

<file path=xl/sharedStrings.xml><?xml version="1.0" encoding="utf-8"?>
<sst xmlns="http://schemas.openxmlformats.org/spreadsheetml/2006/main" count="1605" uniqueCount="655">
  <si>
    <t>Строительство объекта "Автодорога по ул. Ильи Иванова в Советском районе               г. Брянска"</t>
  </si>
  <si>
    <t>Технологический комплекс КНС-3 Дорожная, 1 в Володарском районе                             г. Брянска. Напорный канализационный коллектор. Переход под  железной дорогой  (на Орел)  в двухтрубном исполнении                                      D 500 мм</t>
  </si>
  <si>
    <t>Школа в районе бывшего аэропорта города Брянска</t>
  </si>
  <si>
    <t>Реализация инфраструктурных проектов на территории города Брянска</t>
  </si>
  <si>
    <t>120 чел/смену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</si>
  <si>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</si>
  <si>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</si>
  <si>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t>280 мест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</si>
  <si>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</si>
  <si>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</si>
  <si>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</si>
  <si>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</si>
  <si>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>12.WS.526          Гор.12.WS.526</t>
  </si>
  <si>
    <t>12.WS.526                 Обл.12.WS.526</t>
  </si>
  <si>
    <t>12.WS.337                  Обл.12.WS.337</t>
  </si>
  <si>
    <t>12.WS.337              Гор.12.WS.337</t>
  </si>
  <si>
    <t>12.WS.339             Обл.12.WS.339</t>
  </si>
  <si>
    <t>12.WS.339             Гор.12.WS.339</t>
  </si>
  <si>
    <t>19.WS.094                Обл.19.WS.094</t>
  </si>
  <si>
    <t>19.WS.094               Гор.19.WS.094</t>
  </si>
  <si>
    <t>19.EN.026             Обл.19.EN.026</t>
  </si>
  <si>
    <t>19.EN.026             Гор.19.EN.026</t>
  </si>
  <si>
    <t xml:space="preserve">19.EN.026             </t>
  </si>
  <si>
    <t xml:space="preserve">19.WS.094                </t>
  </si>
  <si>
    <t xml:space="preserve">12.WS.337             </t>
  </si>
  <si>
    <t xml:space="preserve">12.WS.337                  </t>
  </si>
  <si>
    <t xml:space="preserve">12.WS.339            </t>
  </si>
  <si>
    <t xml:space="preserve">12.WS.339             </t>
  </si>
  <si>
    <t xml:space="preserve">12.WS.526                 </t>
  </si>
  <si>
    <t xml:space="preserve">25.SP.047                                    </t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</si>
  <si>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0408 014 0698003 466 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</si>
  <si>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0408 014 0698003 466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</si>
  <si>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0409 024 0398001 414</t>
    </r>
  </si>
  <si>
    <t>Строительсто многоквартирного жилого дома по ул. Витебской в  Бежицком районе г. Брянска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</si>
  <si>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</si>
  <si>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</si>
  <si>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t>Реконструкция объекта: "Самотечный канализационный коллектор №4-а  по ул. 2-я Ломоносова,                                         ул. С. Перовской от                     пр. Ст. Димитрова в Советском районе г. Брянска до канализационных очистных сооружений. Переход через                           р. Дена (дюкер) в двухтрубном исполнении D 800 мм"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</si>
  <si>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</si>
  <si>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</si>
  <si>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</si>
  <si>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</si>
  <si>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Муниципальная программа "Стимулирование экономической активности в городе Брянске"</t>
  </si>
  <si>
    <t>Итого по МУП "Брянское троллейбусное управление" г. Брянска</t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</si>
  <si>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</si>
  <si>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</si>
  <si>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</si>
  <si>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3.2. Заказчик -   МУП "Брянское троллейбусное управление" г. Брянска</t>
  </si>
  <si>
    <t>4. Главный распорядитель бюджетных средств КОМИТЕТ ПО ФИЗИЧЕСКОЙ КУЛЬТУРЕ И СПОРТУ БРЯНСКОЙ ГОРОДСКОЙ АДМИНИСТРАЦИИ (014)</t>
  </si>
  <si>
    <t xml:space="preserve">Муниципальная программа "Физическая культура и спорт в городе Брянске" 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</si>
  <si>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1101 144 06S7620 461 </t>
    </r>
  </si>
  <si>
    <r>
      <t xml:space="preserve">областной бюджет                            </t>
    </r>
    <r>
      <rPr>
        <sz val="10"/>
        <rFont val="Times New Roman"/>
        <family val="1"/>
        <charset val="204"/>
      </rPr>
      <t xml:space="preserve">1101 144 06S7620 461 </t>
    </r>
  </si>
  <si>
    <t>Итого по комитету по физической культуре и спорту</t>
  </si>
  <si>
    <t>Дворец зимних видов спорта 
в Фокинском районе г.Брянска</t>
  </si>
  <si>
    <t>6782,5 п.м</t>
  </si>
  <si>
    <t>1200 п.м</t>
  </si>
  <si>
    <t xml:space="preserve">L= 529 м                           </t>
  </si>
  <si>
    <t xml:space="preserve">L= 617,6 м                      </t>
  </si>
  <si>
    <t xml:space="preserve">9408                                              Гор 25.SP.044                 </t>
  </si>
  <si>
    <t xml:space="preserve">9408                                             Обл 25.SP.044                 </t>
  </si>
  <si>
    <t>2 880 кВт</t>
  </si>
  <si>
    <t>Подпрограмма "Жилищное хозяйство города Брянска"</t>
  </si>
  <si>
    <t>Подпрограмма "Коммунальное хозяйство города Брянска"</t>
  </si>
  <si>
    <t>Основное мероприятие подпрограммы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</si>
  <si>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</si>
  <si>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</si>
  <si>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0702 054 1081680 414</t>
    </r>
  </si>
  <si>
    <t>Массовый спорт</t>
  </si>
  <si>
    <t>Физическая культура</t>
  </si>
  <si>
    <t>2,39 км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</si>
  <si>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0701 054 1198005 414</t>
    </r>
  </si>
  <si>
    <t>Модернизация городского 
общественного транспорта</t>
  </si>
  <si>
    <t>ориентировочно    7 000 000,00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</si>
  <si>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</si>
  <si>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>ориентировочно 4 500 000,00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</si>
  <si>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</si>
  <si>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</si>
  <si>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</si>
  <si>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07S1270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</si>
  <si>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084 07S1270 414   </t>
    </r>
    <r>
      <rPr>
        <i/>
        <sz val="10"/>
        <rFont val="Times New Roman"/>
        <family val="1"/>
        <charset val="204"/>
      </rPr>
      <t xml:space="preserve">   </t>
    </r>
  </si>
  <si>
    <t xml:space="preserve">   </t>
  </si>
  <si>
    <t xml:space="preserve">2024 год     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</si>
  <si>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</si>
  <si>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</si>
  <si>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2024 год</t>
  </si>
  <si>
    <t xml:space="preserve"> 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</si>
  <si>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</si>
  <si>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</si>
  <si>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</si>
  <si>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</si>
  <si>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</si>
  <si>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</si>
  <si>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</si>
  <si>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</si>
  <si>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</si>
  <si>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</si>
  <si>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</si>
  <si>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</si>
  <si>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</si>
  <si>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</si>
  <si>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</si>
  <si>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</si>
  <si>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</si>
  <si>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</si>
  <si>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</si>
  <si>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Канализация по ул. Вильямса в Советском районе                                               г. Брянска</t>
  </si>
  <si>
    <t>Строительство автомобильной дороги – защитной дамбы Брянск 1 -  Брянск 2 г. Брянска (2 этап)</t>
  </si>
  <si>
    <t>0,594 км - дорога,                                          0,2706 км - мост</t>
  </si>
  <si>
    <t>5 этажей,                              138 квартир</t>
  </si>
  <si>
    <t>проектирование</t>
  </si>
  <si>
    <t>2023 год</t>
  </si>
  <si>
    <t>1225 мест</t>
  </si>
  <si>
    <t>Объем бюджетных ассигнований, всего</t>
  </si>
  <si>
    <t>приобретение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</si>
  <si>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</si>
  <si>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</si>
  <si>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</si>
  <si>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</si>
  <si>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</si>
  <si>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2022 год</t>
  </si>
  <si>
    <t>реконструкция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</si>
  <si>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</si>
  <si>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</si>
  <si>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</si>
  <si>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</si>
  <si>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Строительство водопроводных сетей микрорайона "Ковшовка"                                       г. Брянска (2 этап)</t>
  </si>
  <si>
    <t>1 скважина</t>
  </si>
  <si>
    <t>2,020 км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</si>
  <si>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</si>
  <si>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</si>
  <si>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</si>
  <si>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</si>
  <si>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</si>
  <si>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Е152390 414</t>
    </r>
  </si>
  <si>
    <t>средства Фонда содействия реформированию ЖКХ</t>
  </si>
  <si>
    <t>Модернизация системы водоснабжения  на территории муниципального образовния городской округ город Брянск Брянской области</t>
  </si>
  <si>
    <t xml:space="preserve">L=1000 м,                      Д=500 мм </t>
  </si>
  <si>
    <t xml:space="preserve">L=5200 м,                      Д=500 мм </t>
  </si>
  <si>
    <t xml:space="preserve">L=3000 м,                      Д=300 мм </t>
  </si>
  <si>
    <t>2025 год</t>
  </si>
  <si>
    <t>20.ED.019           Гор 20.ED.019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</si>
  <si>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054 10К8006 414</t>
    </r>
  </si>
  <si>
    <t>20.ED.019           Обл 20.ED.019</t>
  </si>
  <si>
    <t xml:space="preserve">20.ED.019          </t>
  </si>
  <si>
    <t xml:space="preserve">20.ED.019           </t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</si>
  <si>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__.__.2023  № _______</t>
  </si>
  <si>
    <t xml:space="preserve">Общий объем освоения бюджетных средств по объекту по состоянию на              1 января 2023 года, в ценах соответсвую-щих лет </t>
  </si>
  <si>
    <t>Остаток сметной стоимости объекта капитального строительства по состоянию               на 1 января 2023 года, в ценах текущего года</t>
  </si>
  <si>
    <t>объектов капитального строительства и объектов недвижимости, приобретаемых для муниципальных нужд, города Брянска на 2023 год и на плановый период 2024 и 2025 годов</t>
  </si>
  <si>
    <t>Дебиторская задолженность на 01.01.2023,  в т.ч.</t>
  </si>
  <si>
    <t>Канализационная сеть микрорайона «Малое Кузьмино» Советского района г. Брянска</t>
  </si>
  <si>
    <t>Водопроводная сеть микрорайона «Бежичи» Бежицкого района г. Брянска</t>
  </si>
  <si>
    <t xml:space="preserve">Водопроводная сеть от                               ул. Куйбышева до ул. 2-ая Пятилетка в р.п. Большое Полпино Володарского района г. Брянска </t>
  </si>
  <si>
    <t xml:space="preserve">2024 год   </t>
  </si>
  <si>
    <t>Водопроводная сеть по                           ул. Мичурина в Володарском районе города Брянска</t>
  </si>
  <si>
    <t>Канализация по ул. Саратовская в Бежицком районе г. Брянска</t>
  </si>
  <si>
    <t>Канализационная сеть по                               ул. Тракторной и                                   пер. Почтовому в Бежицком районе г. Брянска (в т.ч. 1,2,3 очереди строительства)</t>
  </si>
  <si>
    <t>Канализационная сеть по                                   ул. Маяковского Бежицкого района г. Брянска</t>
  </si>
  <si>
    <t>Канализационная сеть по                     пер. Банному в Бежицком районе г. Брянска</t>
  </si>
  <si>
    <t>Канализационная сеть по                                         ул. Дарвина в Володарском районе г.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</si>
  <si>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Е152390 414</t>
    </r>
  </si>
  <si>
    <t>819 п.м</t>
  </si>
  <si>
    <t>11 200 п.м</t>
  </si>
  <si>
    <t>ориентировочно 125 000 000,00</t>
  </si>
  <si>
    <t>15 000 кВт</t>
  </si>
  <si>
    <t xml:space="preserve">Дебиторская задолженность областной бюджет </t>
  </si>
  <si>
    <t xml:space="preserve">Дебиторская задолженность федеральный бюджет </t>
  </si>
  <si>
    <t xml:space="preserve">Дебиторская задолженность федеральный бюджет                                </t>
  </si>
  <si>
    <t xml:space="preserve">Дебиторская задолженность бюджет города                                </t>
  </si>
  <si>
    <t xml:space="preserve">Дебиторская задолженность областной бюджет                           </t>
  </si>
  <si>
    <t xml:space="preserve">Дебиторская задолженность средства Фонда содействия реформированию ЖКХ                                                          </t>
  </si>
  <si>
    <t xml:space="preserve">Дебиторская задолженность бюджет города                                                     </t>
  </si>
  <si>
    <r>
      <t xml:space="preserve">Дебиторская задолженность областной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</si>
  <si>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</si>
  <si>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</si>
  <si>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</si>
  <si>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t>Водозаборное сооружение на территории технологического комплекса "Северный" по адресу: г.Брянск, Советский район, ул. Некрасова</t>
  </si>
  <si>
    <t>160 куб. м/час</t>
  </si>
  <si>
    <t>Водозаборное сооружение  "Деснинский" по адресу:                                  г. Брянск, Бежицкий район,                                      ул. Камозина, о/д 29"</t>
  </si>
  <si>
    <t>Канализационная сеть по проспекту Станке Димитрова д. №106 А, 106 Б, 106 В, 106 Г, 106 Д, 106 Ж, 106 И,                                                       106 К, 106 Л, 106 М, 106 Н, 106 П, 106 Р, 106 С Советского района г. Брянска</t>
  </si>
  <si>
    <t>Канализационная сеть по                           ул. Липецкой в Володарском районе г. Брянска</t>
  </si>
  <si>
    <t>Канализационная сеть по                                ул. Клинцовской, Кромской и пер. Кромскому в Бежицком районе г. Брянска</t>
  </si>
  <si>
    <t>Водопроводная сеть по                                        пл. Халтурина в                                                 п. Чайковичи Бежицкого района г.Брянска</t>
  </si>
  <si>
    <t xml:space="preserve">19.WS.094               </t>
  </si>
  <si>
    <t xml:space="preserve">12.WS.526          </t>
  </si>
  <si>
    <r>
      <t xml:space="preserve">федеральный бюджет           </t>
    </r>
    <r>
      <rPr>
        <sz val="10"/>
        <rFont val="Times New Roman"/>
        <family val="1"/>
        <charset val="204"/>
      </rPr>
      <t xml:space="preserve"> 0702 051 Е152390 414</t>
    </r>
  </si>
  <si>
    <t>750 п.м</t>
  </si>
  <si>
    <t>9610 п.м</t>
  </si>
  <si>
    <t>650 п.м</t>
  </si>
  <si>
    <t>850 п.м</t>
  </si>
  <si>
    <t>1000 п.м</t>
  </si>
  <si>
    <t>ориентировочно 3 700 000,00</t>
  </si>
  <si>
    <t xml:space="preserve"> 700 п.м</t>
  </si>
  <si>
    <t>ориентировочно                    29 500 000,00</t>
  </si>
  <si>
    <t>277,5 п.м</t>
  </si>
  <si>
    <t>602 п.м</t>
  </si>
  <si>
    <t>400 п.м</t>
  </si>
  <si>
    <t>ориентировочно 5 000 000,00</t>
  </si>
  <si>
    <t>ориентировочно 7 000 000,00</t>
  </si>
  <si>
    <t>450 п.м</t>
  </si>
  <si>
    <t>ориентировочно   9 000 000,00</t>
  </si>
  <si>
    <t>ориентировочно  7 000 000,00</t>
  </si>
  <si>
    <t>ориентировочно    3 000 000,00</t>
  </si>
  <si>
    <t>ориентировочно  13 600 000,00</t>
  </si>
  <si>
    <t>ориентировочно  4 600 000,00</t>
  </si>
  <si>
    <t>ориентировочно 13 000 000,00</t>
  </si>
  <si>
    <t>ориентировочно 10 850 000,00</t>
  </si>
  <si>
    <t>730 п.м</t>
  </si>
  <si>
    <t>ориентировочно 5 600 000,00</t>
  </si>
  <si>
    <t>1150 п.м</t>
  </si>
  <si>
    <t>0,55 км</t>
  </si>
  <si>
    <t>Реконструкция Литейного моста через реку Десна в Бежицком районе г. Брянска</t>
  </si>
  <si>
    <t>1.2. Заказчик - МУП "Брянский городской водоканал"</t>
  </si>
  <si>
    <t>Квартира для тренера муниципального бюджетного учреждения "Спортивная школа  по спортивной гимнастике"</t>
  </si>
  <si>
    <t>Итого по  МБУ "СШ по спортивной гимнастике"</t>
  </si>
  <si>
    <t xml:space="preserve">31 квартира                                   48 квартиры                                                    52 квартиры </t>
  </si>
  <si>
    <t>2023 год                                                  2024 год                                                                2025 год</t>
  </si>
  <si>
    <t>700 п.м</t>
  </si>
  <si>
    <t>23315701000001220001   Фед.20.ED.015</t>
  </si>
  <si>
    <t>23315701000001220001   Обл.20.ED.015</t>
  </si>
  <si>
    <t>23315701000001220001   Гор.20.ED.015</t>
  </si>
  <si>
    <t>23315701000001210036   Гор.20.ED.018</t>
  </si>
  <si>
    <t>23315701000001210036   Обл.20.ED.018</t>
  </si>
  <si>
    <t>23315701000001210036   Фед.20.ED.018</t>
  </si>
  <si>
    <t xml:space="preserve">23315701000001210036  </t>
  </si>
  <si>
    <t xml:space="preserve">23315701000001210036 </t>
  </si>
  <si>
    <t xml:space="preserve">23315701000001220001  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</si>
  <si>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 021 R153940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</si>
  <si>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R153940 414</t>
    </r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</si>
  <si>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021 R153940 414</t>
    </r>
  </si>
  <si>
    <t>982215001009           Обл 20.ED.019</t>
  </si>
  <si>
    <t>982215001009           Гор 20.ED.019</t>
  </si>
  <si>
    <t xml:space="preserve">982215001009        </t>
  </si>
  <si>
    <t xml:space="preserve">982215001009         </t>
  </si>
  <si>
    <t>23315701000001200005                                 Фед 19.RS.026</t>
  </si>
  <si>
    <t>23315701000001200005                                  Обл 19.RS.026</t>
  </si>
  <si>
    <t>23315701000001200005                             Гор 19.RS.026</t>
  </si>
  <si>
    <t xml:space="preserve">23315701000001200005                         </t>
  </si>
  <si>
    <t xml:space="preserve">23315701000001200005                                </t>
  </si>
  <si>
    <t xml:space="preserve">23315701000001200005                             </t>
  </si>
  <si>
    <t xml:space="preserve">23315701000001200005                   </t>
  </si>
  <si>
    <t xml:space="preserve">23315701000001200005                                 </t>
  </si>
  <si>
    <t>Водопровод по пер. Кравцова от д. № 4 ул. Рихорда Зорга до д. № 63 по пер. Кравцова в Фокинском районе                                     г. Брянска</t>
  </si>
  <si>
    <t xml:space="preserve">Реконструкция Литейного моста через реку Десна в Бежицком районе г. Брянска                                              (2 пусковой комплекс)                          </t>
  </si>
  <si>
    <t>Реконструкция объекта: "Напорный канализационный коллектор от технологического комплекса ГКНС-4                                                                    ул. Береговой-Флотская до технологического комплекса ГКНС "Первомайская" в Бежицком районе г. Брянска. Переход через р. Десна (дюкер) в двухтрубном исполнении D 800 мм"</t>
  </si>
  <si>
    <t>Самотечный канализационный коллектор по пр. Московскому в Фокинском районе                                       г. Брянска. Переход под железной дорогой D 350мм</t>
  </si>
  <si>
    <t>Водопроводная сеть по                                  ул. Минская, пер. Минской в                                                         п. Чайковичи Бежицкого района г. Брянска</t>
  </si>
  <si>
    <t xml:space="preserve">  </t>
  </si>
  <si>
    <t>Канализационная сеть по                                     пер. Слесарному,                              ул. Деповская  в Володарском районе г. Брянска</t>
  </si>
  <si>
    <t>Водозаборное сооружение на территории технологического комплекса "Городищенский" по адресу: г. Брянск, Бежицкий район,  ул. Бежицкая, д. 266А</t>
  </si>
  <si>
    <t xml:space="preserve">                 228</t>
  </si>
  <si>
    <t xml:space="preserve">                228</t>
  </si>
  <si>
    <t xml:space="preserve">                     228      </t>
  </si>
  <si>
    <t xml:space="preserve">                  228    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</si>
  <si>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414 </t>
    </r>
  </si>
  <si>
    <t>7561  Гор 310</t>
  </si>
  <si>
    <t xml:space="preserve">7561  </t>
  </si>
  <si>
    <t>Строительсто многоквартирного жилого дома по ул. Баумана в  Бежицком районе г. Брянска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</si>
  <si>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0501  084 0581880 414 </t>
    </r>
  </si>
  <si>
    <t xml:space="preserve">                     228</t>
  </si>
  <si>
    <t>Строительство автомобильной дороги - защитной дамбы Брянск 1 - Брянск 2 г. Брянска (1 этап) (ПК 17+00-ПК47+60)</t>
  </si>
  <si>
    <t xml:space="preserve">                310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</si>
  <si>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</si>
  <si>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t>19.RS.042                       Гор 19.RS.042</t>
  </si>
  <si>
    <t xml:space="preserve">19.RS.042                       </t>
  </si>
  <si>
    <t>Строительство проездов от                                                    ул. Романа Брянского до дома                      № 5 по ул. Счастливой; до дома № 14 по ул. Романа Брянского в Советском районе г. Брянска</t>
  </si>
  <si>
    <t>0,645 км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</si>
  <si>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02S6160 414  </t>
    </r>
  </si>
  <si>
    <t>19.RS.058                             Гор 19.RS.058</t>
  </si>
  <si>
    <t>19.RS.044                       Гор 19.RS.044</t>
  </si>
  <si>
    <t xml:space="preserve">19.RS.044                       </t>
  </si>
  <si>
    <t>Реконструкция объекта: "Самотечный канализационный коллектор по ул. Молодой Гвардии в Бежицком районе г. Брянска.  Переход под железной дорогой D 700 мм"</t>
  </si>
  <si>
    <t xml:space="preserve">L= 90 м </t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</si>
  <si>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</si>
  <si>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19.ЕN.019                         Гор 19.ЕN.019</t>
  </si>
  <si>
    <t xml:space="preserve">19.ЕN.019                         </t>
  </si>
  <si>
    <t>19.ЕN.032                         Гор 19.ЕN.032</t>
  </si>
  <si>
    <t xml:space="preserve">19.ЕN.032                        </t>
  </si>
  <si>
    <t>Самотечный канализационный коллектор от ул. Никитина до технологического комплекса КНС РНС Брянск-1 в Володарском районе                                              г. Брянска. Переход под путепроводом D 800 мм</t>
  </si>
  <si>
    <t>19.ЕN.033                         Гор 19.ЕN.033</t>
  </si>
  <si>
    <t xml:space="preserve">19.ЕN.033                         </t>
  </si>
  <si>
    <t>19.ЕN.035                         Гор 19.ЕN.035</t>
  </si>
  <si>
    <t xml:space="preserve">19.ЕN.035                        </t>
  </si>
  <si>
    <t>Реконструкция объекта: "Самотечный канализационный коллектор по ул. Металлургов в Бежицком районе г. Брянска.  Переход под железной дорогой                                                                     D 800 мм"</t>
  </si>
  <si>
    <t>19.ЕN.020                         Гор 19.ЕN.020</t>
  </si>
  <si>
    <t xml:space="preserve">19.ЕN.020                        </t>
  </si>
  <si>
    <t>19.ЕN.013                          Гор 19.ЕN.013</t>
  </si>
  <si>
    <t xml:space="preserve">19.ЕN.013                         </t>
  </si>
  <si>
    <t xml:space="preserve">19.ЕN.021                        </t>
  </si>
  <si>
    <t>Реконструкция объекта: "Технологический комплекс ГКНС "Первомайская". Напорный канализационный коллектор. Участок от                                    пер. Пилотов до ул. Советская в Советском районе                                             г. Брянска в двухтрубном исполнении D 1000 мм"</t>
  </si>
  <si>
    <t>19.ЕN.028                          Гор 19.ЕN.028</t>
  </si>
  <si>
    <t xml:space="preserve">19.ЕN.028                          </t>
  </si>
  <si>
    <t>7558  Фед 310</t>
  </si>
  <si>
    <r>
      <t xml:space="preserve">федеральный бюджет                                  </t>
    </r>
    <r>
      <rPr>
        <sz val="10"/>
        <rFont val="Times New Roman"/>
        <family val="1"/>
        <charset val="204"/>
      </rPr>
      <t xml:space="preserve"> 0501  081 F367483 414 </t>
    </r>
  </si>
  <si>
    <r>
      <t xml:space="preserve">областной бюджет                                  </t>
    </r>
    <r>
      <rPr>
        <sz val="10"/>
        <rFont val="Times New Roman"/>
        <family val="1"/>
        <charset val="204"/>
      </rPr>
      <t xml:space="preserve"> 0501  081 F367484 414 </t>
    </r>
  </si>
  <si>
    <t>7561  Обл 310</t>
  </si>
  <si>
    <t xml:space="preserve">7558  </t>
  </si>
  <si>
    <t>Водопроводные сети по                                ул. Почтовой в Бежицком районе г. Брянска</t>
  </si>
  <si>
    <t>1495 п.м</t>
  </si>
  <si>
    <t>ориентировочно    3 700 000,00</t>
  </si>
  <si>
    <t>2023 год      проект</t>
  </si>
  <si>
    <t>Канализационная сеть с КНС по ул. Почтовой в Бежицком районе г.Брянска</t>
  </si>
  <si>
    <t>13345 п.м</t>
  </si>
  <si>
    <t>Водопроводная сеть к домам                                          № 38, 40а, 40б, 55, 57, 59 по                                                       ул. Кольцова и № 25, 27 по                                         ул. Луговой  в Володарском районе г. Брянска</t>
  </si>
  <si>
    <t>500 п.м</t>
  </si>
  <si>
    <t>Канализационная сеть по ул.Декабристов, ул. Цюрупы в Бежицком районе г. Брянска</t>
  </si>
  <si>
    <t>3150 п.м</t>
  </si>
  <si>
    <t xml:space="preserve">                  228</t>
  </si>
  <si>
    <t xml:space="preserve">               228</t>
  </si>
  <si>
    <t>Канализационные сети по ул.Вознесенская, ул.Рождественская, ул.Созидания Бежицкого района г.Брянска</t>
  </si>
  <si>
    <t>2870 п.м</t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</si>
  <si>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</si>
  <si>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4 100 п.м</t>
  </si>
  <si>
    <t>ориентировочно   47 968 529,88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</si>
  <si>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1102 144 0281680 414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</si>
  <si>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</si>
  <si>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t xml:space="preserve">              228</t>
  </si>
  <si>
    <t>Спортивно-оздоровительный комплекс в Бежицком районе                                                 г. Брянска</t>
  </si>
  <si>
    <t>72 чел. в смену</t>
  </si>
  <si>
    <t xml:space="preserve">             310</t>
  </si>
  <si>
    <t xml:space="preserve">Канализационные сети по                                                   ул.Унечской,                                           ул. Шолохова,                                          ул. Коммунаров,                                  ул. Полесской,                                                   пер. О.Кошевого в Фокинском районе г.Брянска        </t>
  </si>
  <si>
    <t>934 п.м</t>
  </si>
  <si>
    <t xml:space="preserve">2023 год </t>
  </si>
  <si>
    <t>19.EN.027                 Гор.19.EN.027</t>
  </si>
  <si>
    <t>Водопроводные сети к жилой застройке по                                                         ул. Пролетарской в Володарском районе                                   г. Брянска</t>
  </si>
  <si>
    <t xml:space="preserve">    843 п.м</t>
  </si>
  <si>
    <t>19.WS.076   Гор.19.WS.076</t>
  </si>
  <si>
    <t>Переход железнодорожного пути водопроводом диаметром 150 мм в                                                     р.п. Радица-Крыловка Бежицкого района г. Брянска</t>
  </si>
  <si>
    <t>58,1 п.м</t>
  </si>
  <si>
    <t>19.WS.112               Гор.19.WS.112</t>
  </si>
  <si>
    <t>12.WS.190         Гор.12.WS.190</t>
  </si>
  <si>
    <t xml:space="preserve">                                   Гор.20.ED.005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</si>
  <si>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</si>
  <si>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 Гор 25.SP.029</t>
  </si>
  <si>
    <t>Канализация по ул. Зеленая и пер. 3-й Бежицкий в Бежицком районе г. Брянска</t>
  </si>
  <si>
    <t xml:space="preserve"> 1720 п.м</t>
  </si>
  <si>
    <t>Канализационная сеть по ул.Кутузова, пер. О.Кошевого, Фокинский район, г.Брянск</t>
  </si>
  <si>
    <t>300 п.м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</si>
  <si>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F511270  414  </t>
    </r>
  </si>
  <si>
    <t xml:space="preserve">19.EN.027                </t>
  </si>
  <si>
    <t xml:space="preserve">19.WS.076   </t>
  </si>
  <si>
    <t xml:space="preserve">19.WS.112              </t>
  </si>
  <si>
    <t xml:space="preserve">12.WS.188                 </t>
  </si>
  <si>
    <t xml:space="preserve">12.WS.190         </t>
  </si>
  <si>
    <t>Муниципальная программа "Поддержка и сохранение культуры и искусства в городе Брянске"</t>
  </si>
  <si>
    <t>Дополнительное образование детей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</si>
  <si>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</si>
  <si>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10S1270 414</t>
    </r>
  </si>
  <si>
    <t xml:space="preserve">20.ED.015                </t>
  </si>
  <si>
    <t xml:space="preserve">20.ED.018                             </t>
  </si>
  <si>
    <t xml:space="preserve">16.ED.053                              </t>
  </si>
  <si>
    <t>Прокладка водопроводной сети к жилым домам № 20, 22 по бульвару Щорса в Володарском районе                                г. Брянска</t>
  </si>
  <si>
    <t>техплан</t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</si>
  <si>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10.02.2023  № 444-п</t>
  </si>
  <si>
    <t>"</t>
  </si>
  <si>
    <t>ориентировочно 4 485 000,00</t>
  </si>
  <si>
    <t>ориентировочно               47 627 419,44</t>
  </si>
  <si>
    <t>188 м.</t>
  </si>
  <si>
    <t>Исполнение исковых требований на основании вступившихв законную силу судебных актов</t>
  </si>
  <si>
    <t xml:space="preserve">1 квартира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</si>
  <si>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0113  034 0483270 412 </t>
    </r>
  </si>
  <si>
    <t xml:space="preserve">               310</t>
  </si>
  <si>
    <t>2353940Х137980000000                         Гор 19.IN.010</t>
  </si>
  <si>
    <t>2353940Х137980000000                                  Обл 19.IN.010</t>
  </si>
  <si>
    <t>2353940Х137980000000                                Фед 19.IN.010</t>
  </si>
  <si>
    <t xml:space="preserve">2353940Х137980000000                        </t>
  </si>
  <si>
    <t xml:space="preserve">Школа в мкр. № 4 в Советском районе г. Брянска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</si>
  <si>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Строительство пристройки к зданию МБОУ СОШ №13 имени Героя Советского Союза И.Б. Катунина                                                    г. Брянска </t>
  </si>
  <si>
    <t>проектирование и строительство</t>
  </si>
  <si>
    <t>5276,7 кв.м</t>
  </si>
  <si>
    <t xml:space="preserve">2024 год  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</si>
  <si>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02S1270 414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</si>
  <si>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02S6160 414</t>
    </r>
  </si>
  <si>
    <t>19.RS.058                             Обл 19.RS.058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</si>
  <si>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R153890 414</t>
    </r>
  </si>
  <si>
    <t>19.RS.042                       Обл 19.RS.042</t>
  </si>
  <si>
    <t xml:space="preserve">                                   Гор 12.WS.530</t>
  </si>
  <si>
    <t>12.WS.530                                   Гор 12.WS.530</t>
  </si>
  <si>
    <t xml:space="preserve">                                   Гор 12.WS.531</t>
  </si>
  <si>
    <t>12.WS.531                                   Гор 12.WS.531</t>
  </si>
  <si>
    <t xml:space="preserve">                                   Гор 12.WS.532</t>
  </si>
  <si>
    <t>12.WS.532                                   Гор 12.WS.532</t>
  </si>
  <si>
    <t xml:space="preserve">19.RS.058                             </t>
  </si>
  <si>
    <t xml:space="preserve">Реконструкция Бордовичских водозаборных сооружений в                                                             г. Брянске Брянской области                                 </t>
  </si>
  <si>
    <t>20 000 м3/сут</t>
  </si>
  <si>
    <t>1.3. Заказчик - Комитет по жилищно-коммунальному хозяйству Брянской городской администрации</t>
  </si>
  <si>
    <t>2023 год         проект</t>
  </si>
  <si>
    <t xml:space="preserve">12.WS.530                                   </t>
  </si>
  <si>
    <t xml:space="preserve">12.WS.531                                  </t>
  </si>
  <si>
    <t xml:space="preserve">12.WS.532                                   </t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</si>
  <si>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</si>
  <si>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19.ЕN.019                         Обл 19.ЕN.019</t>
  </si>
  <si>
    <t>19.ЕN.032                         Обл 19.ЕN.032</t>
  </si>
  <si>
    <t>19.ЕN.033                         Обл 19.ЕN.033</t>
  </si>
  <si>
    <t>19.ЕN.035                         Обл 19.ЕN.035</t>
  </si>
  <si>
    <t>19.ЕN.020                         Обл 19.ЕN.020</t>
  </si>
  <si>
    <t>19.ЕN.013                         Обл 19.ЕN.013</t>
  </si>
  <si>
    <t>19.ЕN.021                         Обл 19.ЕN.021</t>
  </si>
  <si>
    <t>19.ЕN.028                         Обл 19.ЕN.028</t>
  </si>
  <si>
    <t>12.WS.533                                   Гор 12.WS.533</t>
  </si>
  <si>
    <t>12.WS.533                         Обл 12.WS.533</t>
  </si>
  <si>
    <t>19.ЕN.021                         Гор 19.ЕN.021</t>
  </si>
  <si>
    <t xml:space="preserve">12.WS.533                                   </t>
  </si>
  <si>
    <t xml:space="preserve">12.WS.533                         </t>
  </si>
  <si>
    <r>
      <t xml:space="preserve">областной бюджет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</si>
  <si>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12.WS.531                                   Обл 12.WS.531</t>
  </si>
  <si>
    <t>12.WS.530                                   Обл 12.WS.530</t>
  </si>
  <si>
    <t>12.WS.532                                   Обл 12.WS.532</t>
  </si>
  <si>
    <t xml:space="preserve">12.WS.531                                   </t>
  </si>
  <si>
    <r>
      <t xml:space="preserve">областной бюджет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</si>
  <si>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 Обл 25.SP.029</t>
  </si>
  <si>
    <t xml:space="preserve">25.SP.029                                  </t>
  </si>
  <si>
    <t xml:space="preserve">25.SP.029                               </t>
  </si>
  <si>
    <t xml:space="preserve">25.SP.029                                   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</si>
  <si>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07S9605 414 </t>
    </r>
    <r>
      <rPr>
        <i/>
        <sz val="10"/>
        <rFont val="Times New Roman"/>
        <family val="1"/>
        <charset val="204"/>
      </rPr>
      <t xml:space="preserve"> </t>
    </r>
  </si>
  <si>
    <t>12.СМ.003                 Обл 12.СМ.003</t>
  </si>
  <si>
    <t>12.СМ.003                 Гор 12.СМ.003</t>
  </si>
  <si>
    <r>
      <t xml:space="preserve">федеральный бюджет                               </t>
    </r>
    <r>
      <rPr>
        <sz val="10"/>
        <rFont val="Times New Roman"/>
        <family val="1"/>
        <charset val="204"/>
      </rPr>
      <t xml:space="preserve">0502 084 0709505 414 </t>
    </r>
    <r>
      <rPr>
        <i/>
        <sz val="10"/>
        <rFont val="Times New Roman"/>
        <family val="1"/>
        <charset val="204"/>
      </rPr>
      <t xml:space="preserve"> </t>
    </r>
  </si>
  <si>
    <t>12.СМ.003                 Фед 12.СМ.003</t>
  </si>
  <si>
    <t>12.СМ.004                 Гор 12.СМ.004</t>
  </si>
  <si>
    <t>12.СМ.004                 Обл 12.СМ.004</t>
  </si>
  <si>
    <t>12.СМ.004                 Фед 12.СМ.004</t>
  </si>
  <si>
    <t>19.WS.076                Обл.19.WS.076</t>
  </si>
  <si>
    <t>19.EN.027             Обл.19.EN.027</t>
  </si>
  <si>
    <t>19.WS.112                Обл.19.WS.112</t>
  </si>
  <si>
    <t xml:space="preserve">19.EN.027             </t>
  </si>
  <si>
    <t xml:space="preserve">19.WS.076                </t>
  </si>
  <si>
    <t xml:space="preserve">19.WS.112                </t>
  </si>
  <si>
    <t xml:space="preserve">12.СМ.003                </t>
  </si>
  <si>
    <t xml:space="preserve">12.СМ.003                 </t>
  </si>
  <si>
    <t xml:space="preserve">12.СМ.004                 </t>
  </si>
  <si>
    <t>Технологический комплекс КНС-3 Дорожная, 1 в Володарском районе                             г. Брянска. Напорный канализационный коллектор. Переход под  железной дорогой  (на Москву)  в двухтрубном исполнении                                      D 500 мм</t>
  </si>
  <si>
    <t xml:space="preserve">L= 50 м </t>
  </si>
  <si>
    <t>12.СМ.001                 Гор 12.СМ.001</t>
  </si>
  <si>
    <t>12.СМ.001                 Обл 12.СМ.001</t>
  </si>
  <si>
    <t>12.СМ.001                 Фед 12.СМ.001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</si>
  <si>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07S9605 466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</si>
  <si>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0502 084 0709605 466 </t>
    </r>
    <r>
      <rPr>
        <i/>
        <sz val="10"/>
        <rFont val="Times New Roman"/>
        <family val="1"/>
        <charset val="204"/>
      </rPr>
      <t xml:space="preserve"> </t>
    </r>
  </si>
  <si>
    <r>
      <t xml:space="preserve">федеральный бюджет                               </t>
    </r>
    <r>
      <rPr>
        <sz val="10"/>
        <rFont val="Times New Roman"/>
        <family val="1"/>
        <charset val="204"/>
      </rPr>
      <t xml:space="preserve">0502 084 0709505 466 </t>
    </r>
    <r>
      <rPr>
        <i/>
        <sz val="10"/>
        <rFont val="Times New Roman"/>
        <family val="1"/>
        <charset val="204"/>
      </rPr>
      <t xml:space="preserve"> </t>
    </r>
  </si>
  <si>
    <t>Самотечный канализационный коллектор от ул. Никитина до технологического комплекса КНС РНС Брянск-1 в Володарском районе                                              г. Брянска. Переход под железной дорогой D 800 мм</t>
  </si>
  <si>
    <t>12.СМ.002                 Гор 12.СМ.002</t>
  </si>
  <si>
    <t>12.СМ.002                 Обл 12.СМ.002</t>
  </si>
  <si>
    <t>12.СМ.002                 Фед 12.СМ.002</t>
  </si>
  <si>
    <t xml:space="preserve">12.СМ.001                 </t>
  </si>
  <si>
    <t xml:space="preserve">12.СМ.002                </t>
  </si>
  <si>
    <t xml:space="preserve">12.СМ.002                 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</si>
  <si>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</si>
  <si>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12.WS.188                 Обл 12.WS.188</t>
  </si>
  <si>
    <t>12.WS.188                 Гор 12.WS.188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</si>
  <si>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</si>
  <si>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12.WS.190                 Обл 12.WS.190</t>
  </si>
  <si>
    <t xml:space="preserve">12.WS.190                 </t>
  </si>
  <si>
    <t>20.ED.015                 Обл 20.ED.015</t>
  </si>
  <si>
    <t>20.ED.015                 Гор 20.ED.015</t>
  </si>
  <si>
    <t>20.ED.018                              Обл 20.ED.018</t>
  </si>
  <si>
    <t>20.ED.018                              Гор 20.ED.018</t>
  </si>
  <si>
    <r>
      <t xml:space="preserve">областной бюджет                      </t>
    </r>
    <r>
      <rPr>
        <sz val="10"/>
        <rFont val="Times New Roman"/>
        <family val="1"/>
        <charset val="204"/>
      </rPr>
      <t>0702 054 10S1270 414</t>
    </r>
  </si>
  <si>
    <t>16.ED.053                              Обл 16.ED.053</t>
  </si>
  <si>
    <t>16.ED.053                              Гор 16.ED.053</t>
  </si>
  <si>
    <t xml:space="preserve">20.ED.015                 </t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</si>
  <si>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Е155200 414</t>
    </r>
  </si>
  <si>
    <t xml:space="preserve">20.ED.018                            </t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</si>
  <si>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</si>
  <si>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r>
      <t xml:space="preserve">федеральный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</si>
  <si>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23215701000001220004                                                   </t>
  </si>
  <si>
    <t>35 тыс.м3/сут.</t>
  </si>
  <si>
    <t>Реконструкция технологического комплекса ГКНС по ул. Калинина, о/д 20 в Советском районе                                       г. Брянска</t>
  </si>
  <si>
    <t xml:space="preserve">2024 год      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</si>
  <si>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</si>
  <si>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Водозаборное сооружение на территории технологического комплекса "Деповский" по адресу: г. Брянск, Володарский район,                              ул. Мичурина</t>
  </si>
  <si>
    <t>г</t>
  </si>
  <si>
    <t>о</t>
  </si>
  <si>
    <t>ф</t>
  </si>
  <si>
    <t>982315002001                            Гор 19.RS.056</t>
  </si>
  <si>
    <t>982315002001                           Обл 19.RS.056</t>
  </si>
  <si>
    <t>982315002001</t>
  </si>
  <si>
    <t>982315002006        Гор 37.IN.007</t>
  </si>
  <si>
    <t>982315002006        Обл 37.IN.007</t>
  </si>
  <si>
    <t>982315002007   Гор 37.IN.008</t>
  </si>
  <si>
    <t>982315002007        Обл 37.IN.008</t>
  </si>
  <si>
    <t>982315002006</t>
  </si>
  <si>
    <t>982315002007</t>
  </si>
  <si>
    <t>5. Главный распорядитель бюджетных средств УПРАВЛЕНИЕ КУЛЬТУРЫ БРЯНСКОЙ ГОРОДСКОЙ АДМИНИСТРАЦИИ (006)</t>
  </si>
  <si>
    <t>4.1. Заказчик -   МБУ ДО "Детская школа искусств № 10"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</si>
  <si>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0703 064 0181680 464</t>
    </r>
  </si>
  <si>
    <t xml:space="preserve">                     530</t>
  </si>
  <si>
    <t>Итого по МБУ ДО "Детская школа искусств № 10"</t>
  </si>
  <si>
    <t>Итого по управлению культуры</t>
  </si>
  <si>
    <r>
      <t>1000 м</t>
    </r>
    <r>
      <rPr>
        <vertAlign val="superscript"/>
        <sz val="10"/>
        <rFont val="Times New Roman"/>
        <family val="1"/>
        <charset val="204"/>
      </rPr>
      <t>2</t>
    </r>
  </si>
  <si>
    <t xml:space="preserve">                                           Гор 12.WS.185</t>
  </si>
  <si>
    <t xml:space="preserve">                                                      Гор 12.WS.185                 </t>
  </si>
  <si>
    <t xml:space="preserve">                                                    Гор 12.WS.185                 </t>
  </si>
  <si>
    <t>Реконструкция здания МБУДО "Детская школа искусств № 10"   (г. Брянск,                                                                ул. Б. Хмельницкого,  д. 79)</t>
  </si>
  <si>
    <t>Итого по комитету по ЖКХ</t>
  </si>
  <si>
    <t>23315701000001210033                Гор 12.WS.188</t>
  </si>
  <si>
    <t>23315701000001210033                Обл 12.WS.188</t>
  </si>
  <si>
    <t>23315701000001210033                Фед 12.WS.188</t>
  </si>
  <si>
    <t>23315701000001210034                Гор 12.WS.190</t>
  </si>
  <si>
    <t>23315701000001210034                Обл 12.WS.190</t>
  </si>
  <si>
    <t>23315701000001210034                Фед 12.WS.190</t>
  </si>
  <si>
    <t xml:space="preserve">23315701000001210033               </t>
  </si>
  <si>
    <t xml:space="preserve">23315701000001210033                </t>
  </si>
  <si>
    <t xml:space="preserve">23315701000001210034               </t>
  </si>
  <si>
    <t xml:space="preserve">23315701000001210034                </t>
  </si>
  <si>
    <t>возмещение расходов собственнику по переносу ЛЭП</t>
  </si>
  <si>
    <t>оснащение оборудованием</t>
  </si>
  <si>
    <t>1 участок</t>
  </si>
  <si>
    <t xml:space="preserve">L= 191 м </t>
  </si>
  <si>
    <t xml:space="preserve">L= 1441 м </t>
  </si>
  <si>
    <t xml:space="preserve">L= 209 м </t>
  </si>
  <si>
    <t xml:space="preserve">L= 83,5 м </t>
  </si>
  <si>
    <t xml:space="preserve">L= 228 м 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</si>
  <si>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03S8001 414  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</si>
  <si>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11S8005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</si>
  <si>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10S8006 414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</si>
  <si>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0408 014 06S8003 466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</si>
  <si>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0408 014 06S8003 466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</si>
  <si>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0702 054 1098006 414</t>
    </r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</si>
  <si>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0502 084 0709605 414 </t>
    </r>
    <r>
      <rPr>
        <i/>
        <sz val="10"/>
        <rFont val="Times New Roman"/>
        <family val="1"/>
        <charset val="204"/>
      </rPr>
      <t xml:space="preserve"> </t>
    </r>
  </si>
  <si>
    <t>23-50820-0000-00000                                            Фед 310</t>
  </si>
  <si>
    <t xml:space="preserve">23-50820-0000-00000                                           </t>
  </si>
  <si>
    <t xml:space="preserve">23-50820-0000-00000                                       </t>
  </si>
  <si>
    <t>23-50820-0000-00000                                           Обл 310</t>
  </si>
  <si>
    <t xml:space="preserve">982315002001                        </t>
  </si>
  <si>
    <t xml:space="preserve">982315002001                            </t>
  </si>
  <si>
    <t>Строительство объекта "Автодорога по ул. Советской (от ул. Крахмалева до                                                                       ул. Объездной) в Советском районе г. Брянска"</t>
  </si>
  <si>
    <t>выкуп земельных участков</t>
  </si>
  <si>
    <r>
      <rPr>
        <sz val="10"/>
        <rFont val="Times New Roman"/>
        <family val="1"/>
        <charset val="204"/>
      </rPr>
      <t>бюджет города</t>
    </r>
    <r>
      <rPr>
        <i/>
        <sz val="10"/>
        <rFont val="Times New Roman"/>
        <family val="1"/>
        <charset val="204"/>
      </rPr>
      <t xml:space="preserve">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</si>
  <si>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 xml:space="preserve">    310</t>
  </si>
  <si>
    <t xml:space="preserve">                     310      </t>
  </si>
  <si>
    <t xml:space="preserve">                  310    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</si>
  <si>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412 </t>
    </r>
  </si>
  <si>
    <t>7561 Гор 310</t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</si>
  <si>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412        </t>
    </r>
    <r>
      <rPr>
        <i/>
        <sz val="10"/>
        <rFont val="Times New Roman"/>
        <family val="1"/>
        <charset val="204"/>
      </rPr>
      <t xml:space="preserve">                      </t>
    </r>
  </si>
  <si>
    <t>7561 Обл 310</t>
  </si>
  <si>
    <t>7558 Фед 310</t>
  </si>
  <si>
    <t>4 квартиры</t>
  </si>
  <si>
    <t xml:space="preserve">7561 </t>
  </si>
  <si>
    <t xml:space="preserve">7558 </t>
  </si>
  <si>
    <r>
      <t xml:space="preserve">средства Фонда развития территорий                                                      </t>
    </r>
    <r>
      <rPr>
        <sz val="10"/>
        <rFont val="Times New Roman"/>
        <family val="1"/>
        <charset val="204"/>
      </rPr>
      <t xml:space="preserve">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</si>
  <si>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t>Обеспечение устойчивого сокращения непригодного для проживания жилищного фонда</t>
  </si>
  <si>
    <r>
      <t xml:space="preserve">средства Фонда развития территорий                                                     </t>
    </r>
    <r>
      <rPr>
        <sz val="10"/>
        <rFont val="Times New Roman"/>
        <family val="1"/>
        <charset val="204"/>
      </rPr>
      <t xml:space="preserve">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</si>
  <si>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t>средства Фонда развития территорий</t>
  </si>
  <si>
    <t xml:space="preserve">Переход под железной дорогой Брянск-2 водовода речной воды в Фокинский район в две нитки - вынос с эстакады путепровода д=500мм </t>
  </si>
  <si>
    <t>Водовод от технологического комплекса "Трубчевский" до ул. Вали Сафроновой д=500мм</t>
  </si>
  <si>
    <t>Водовод в п. Чайковичи Бежицкого района д=300мм</t>
  </si>
  <si>
    <t>19.RS.026                             Гор 19.RS.026</t>
  </si>
  <si>
    <t xml:space="preserve">19.RS.026                             </t>
  </si>
  <si>
    <t>Строительство школы на территории бывшего аэропорта по ул. Амосова в Советском районе г. Брянска</t>
  </si>
  <si>
    <t>23215701000001220004                                                   Обл 15.СL.013</t>
  </si>
  <si>
    <t>95 человек (количество учащихся)</t>
  </si>
  <si>
    <t>0,97 км</t>
  </si>
  <si>
    <t>Блочно-модульная котельная по адресу: Брянская область, г. Брянск, ул. Вокзальная, д. 172а</t>
  </si>
  <si>
    <t>19.RS.026                                  Обл 19.RS.026</t>
  </si>
  <si>
    <t xml:space="preserve">19.RS.026                                 </t>
  </si>
  <si>
    <t xml:space="preserve">бюджет города                              0502 084 07S1270 414  </t>
  </si>
  <si>
    <t>23215701000001220001                                                  Гор 15.СL.013</t>
  </si>
  <si>
    <t>23215701000001220001                                                  Фед 15.СL.013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</si>
  <si>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0701 054 1198007 414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</si>
  <si>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11S8007 414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</si>
  <si>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0409 024 0398007 414</t>
    </r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</si>
  <si>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03S8007 414  </t>
    </r>
  </si>
  <si>
    <t>Реконструкция тяговых подстанций  энергохозяйства МУП «Брянское троллейбусное управление»                                   г. Брянска (в том числе проектно-сметная документация)</t>
  </si>
  <si>
    <t>Реконструкция здания МБУДО "Детская школа искусств № 10" по адресу: г. Брянск, ул. Б. Хмельницкого, д. 79</t>
  </si>
  <si>
    <t>И.В. Бзнуни</t>
  </si>
  <si>
    <t>Строительство кабельных линий энергохозяйства МУП «Брянской троллейбусное управление» г. Брянска (в том числе проектно-сметная документация)</t>
  </si>
  <si>
    <t>Изменения</t>
  </si>
  <si>
    <t>982315002002                                     Гор 16.ED.046</t>
  </si>
  <si>
    <t>982315002002                                      Гор 16.ED.046</t>
  </si>
  <si>
    <t>982315002002                                                                               Обл 16.ED.046</t>
  </si>
  <si>
    <t xml:space="preserve">982315002002                                      </t>
  </si>
  <si>
    <t xml:space="preserve">982315002002                                                                               </t>
  </si>
  <si>
    <t xml:space="preserve">2024 год </t>
  </si>
  <si>
    <t>Всего</t>
  </si>
  <si>
    <t>5 этажей,                              99 квартир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</si>
  <si>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F1М0210 414</t>
    </r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</si>
  <si>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F1М0210 414  </t>
    </r>
  </si>
  <si>
    <t>19.RS.064                             Гор 19.RS.064</t>
  </si>
  <si>
    <t xml:space="preserve">19.RS.064                            </t>
  </si>
  <si>
    <t xml:space="preserve">Заместитель Главы городской администрации </t>
  </si>
  <si>
    <t>М.В. Коньшаков</t>
  </si>
  <si>
    <t xml:space="preserve">                   228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</si>
  <si>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0505 084 0281670 414  </t>
    </r>
  </si>
  <si>
    <t xml:space="preserve">Основное мероприятие программы </t>
  </si>
  <si>
    <t>Крематорий  в г. Брянске</t>
  </si>
  <si>
    <t>Канализационная сеть по                                                    ул. Цюрупы (от ул. Первомайской до                                                        ул. Кубяка) в Бежицком районе г. Брянска</t>
  </si>
  <si>
    <t>4.1. Заказчик -   МБУ ДО "Спортивная школа по спортивной гимнастике"</t>
  </si>
  <si>
    <t>4.2. Заказчик -   МАУ ФКиС БГСК "Спартак"</t>
  </si>
  <si>
    <t>Квартира для тренера муниципального автономного учреждения физической культуры и спорта Брянский городской спортивный комбинат "Спартак"</t>
  </si>
  <si>
    <t>Итого по  МАУ ФКиС БГСК "Спартак"</t>
  </si>
  <si>
    <r>
      <t>1 этаж,                   1136,26 м</t>
    </r>
    <r>
      <rPr>
        <vertAlign val="superscript"/>
        <sz val="10"/>
        <rFont val="Times New Roman"/>
        <family val="1"/>
        <charset val="204"/>
      </rPr>
      <t>2</t>
    </r>
  </si>
  <si>
    <r>
      <t xml:space="preserve">областной бюджет                                       </t>
    </r>
    <r>
      <rPr>
        <sz val="10"/>
        <rFont val="Times New Roman"/>
        <family val="1"/>
        <charset val="204"/>
      </rPr>
      <t xml:space="preserve"> 0409 024 02S6160 414  </t>
    </r>
  </si>
  <si>
    <t>19.RS.064                             Обл 19.RS.064</t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</si>
  <si>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 0409 024 02S6160 414  </t>
    </r>
  </si>
  <si>
    <t>(+)1 539 791,21</t>
  </si>
  <si>
    <r>
      <t>1 квартира-38,4 м</t>
    </r>
    <r>
      <rPr>
        <vertAlign val="superscript"/>
        <sz val="10"/>
        <rFont val="Times New Roman"/>
        <family val="1"/>
        <charset val="204"/>
      </rPr>
      <t>2</t>
    </r>
  </si>
  <si>
    <r>
      <t>1 квартира- 38,5 м</t>
    </r>
    <r>
      <rPr>
        <vertAlign val="superscript"/>
        <sz val="10"/>
        <rFont val="Times New Roman"/>
        <family val="1"/>
        <charset val="204"/>
      </rPr>
      <t xml:space="preserve">2, </t>
    </r>
    <r>
      <rPr>
        <sz val="10"/>
        <rFont val="Times New Roman"/>
        <family val="1"/>
        <charset val="204"/>
      </rPr>
      <t xml:space="preserve">                              1 квартира- 76,8 м2</t>
    </r>
  </si>
  <si>
    <t>(-)600 000,00</t>
  </si>
  <si>
    <t>Подпрограмма "Внешнее благоустроство территории города Брянска"</t>
  </si>
  <si>
    <t>Строительство сетей уличного освещения по административным районам города Брянска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</si>
  <si>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0503 084 0881680 414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</si>
  <si>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0503 084 0813500 414 </t>
    </r>
    <r>
      <rPr>
        <i/>
        <sz val="10"/>
        <rFont val="Times New Roman"/>
        <family val="1"/>
        <charset val="204"/>
      </rPr>
      <t xml:space="preserve"> </t>
    </r>
  </si>
  <si>
    <t xml:space="preserve">                 310</t>
  </si>
  <si>
    <t>(+)2 119 798,27</t>
  </si>
  <si>
    <t>Водозаборное сооружение на территории технологического комплекса "Тимоновский" по адресу: Брянская область, Брянский район, с. Супонево,                                                                     ул. Московская</t>
  </si>
  <si>
    <t>оплата долга по судебному решению</t>
  </si>
  <si>
    <t xml:space="preserve">              310</t>
  </si>
  <si>
    <t>(+)686 169,00</t>
  </si>
  <si>
    <t xml:space="preserve">                  310</t>
  </si>
  <si>
    <t>(-)459 384,97</t>
  </si>
  <si>
    <t>(-)11 124,65</t>
  </si>
  <si>
    <t>(-)781 935,07</t>
  </si>
  <si>
    <t>(-)378 468,53</t>
  </si>
  <si>
    <t>(+)40 276 167,12</t>
  </si>
  <si>
    <t>(-)10 940 578,21</t>
  </si>
  <si>
    <t>(+)145 250 263,60</t>
  </si>
  <si>
    <t>(-)1 011 307,58</t>
  </si>
  <si>
    <t>(+)91 509,31</t>
  </si>
  <si>
    <t>(+)1 265 154,18</t>
  </si>
  <si>
    <t>(-)1 265 154,18</t>
  </si>
  <si>
    <t>(-)90 000,00</t>
  </si>
  <si>
    <t xml:space="preserve">             228</t>
  </si>
  <si>
    <t>(+)90 000,00</t>
  </si>
  <si>
    <t>Начальник Управления по строительству и развитию территории города Брянска</t>
  </si>
  <si>
    <t>Т.В. Волкова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</si>
  <si>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0703 064 0181680 414</t>
    </r>
  </si>
  <si>
    <t>Строительство улично-дорожной сети в микрорайоне по ул. Флотской в Бежицком районе города Брянска</t>
  </si>
  <si>
    <t>Строительство объекта "Автодорога по ул. Николая Амосова в Советском районе                                                            г. Брянска"</t>
  </si>
  <si>
    <t>ПЛАН ЛБО</t>
  </si>
  <si>
    <t>117 000 м</t>
  </si>
  <si>
    <t>ориентировочно 93 604 900,01</t>
  </si>
  <si>
    <t>ориентировочно  66 364 333,33</t>
  </si>
  <si>
    <t>ориентировочно  45 107 790,00</t>
  </si>
  <si>
    <t>ориентировочно  66 349 333,33</t>
  </si>
  <si>
    <t>ориентировочно    93 596 740,00</t>
  </si>
  <si>
    <t>2,663 км</t>
  </si>
  <si>
    <t>(+)75 692,17</t>
  </si>
  <si>
    <t>(+)141 056,93</t>
  </si>
  <si>
    <t>(-)6 320 779,48</t>
  </si>
  <si>
    <t>(+)1 438 151,19</t>
  </si>
  <si>
    <t>(+)2 680 081,91</t>
  </si>
  <si>
    <t>(+)300 000 000,00</t>
  </si>
  <si>
    <t>(-)108 806 500,00</t>
  </si>
  <si>
    <t>(-)191 193 500,00</t>
  </si>
  <si>
    <t>(-)17 601 968,90</t>
  </si>
  <si>
    <t>(-)300,00</t>
  </si>
  <si>
    <t>(-)666,67</t>
  </si>
  <si>
    <t>(-)249 798,29</t>
  </si>
  <si>
    <t>(-)4 265,36</t>
  </si>
  <si>
    <t>(-)1 775 272,33</t>
  </si>
  <si>
    <t>(+)3 030 303,03</t>
  </si>
  <si>
    <t>(-)216 749,48</t>
  </si>
  <si>
    <t>(+)154 633,00</t>
  </si>
  <si>
    <t>(+)12 800 000,00</t>
  </si>
  <si>
    <t>(+)10 000 000,00</t>
  </si>
  <si>
    <t>(-)10 000 000,00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</si>
</sst>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[$-419]General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7030A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9" fillId="0" borderId="0">
      <alignment vertical="top" wrapText="1"/>
    </xf>
    <xf numFmtId="164" fontId="25" fillId="0" borderId="0"/>
  </cellStyleXfs>
  <cellXfs count="522">
    <xf numFmtId="0" fontId="0" fillId="0" borderId="0" xfId="0"/>
    <xf numFmtId="44" fontId="3" fillId="0" borderId="0" xfId="1" applyFont="1" applyAlignment="1">
      <alignment horizontal="center"/>
    </xf>
    <xf numFmtId="0" fontId="4" fillId="0" borderId="0" xfId="0" applyFont="1"/>
    <xf numFmtId="4" fontId="0" fillId="0" borderId="0" xfId="0" applyNumberFormat="1" applyAlignment="1">
      <alignment horizontal="left" vertical="top"/>
    </xf>
    <xf numFmtId="0" fontId="4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 vertical="top"/>
    </xf>
    <xf numFmtId="0" fontId="8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4" fontId="4" fillId="0" borderId="6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6" fillId="0" borderId="0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6" fillId="0" borderId="9" xfId="0" applyFont="1" applyBorder="1" applyAlignment="1">
      <alignment horizontal="right" wrapText="1"/>
    </xf>
    <xf numFmtId="4" fontId="5" fillId="2" borderId="4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4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4" fontId="11" fillId="0" borderId="4" xfId="0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/>
    <xf numFmtId="4" fontId="4" fillId="0" borderId="4" xfId="0" applyNumberFormat="1" applyFont="1" applyBorder="1"/>
    <xf numFmtId="49" fontId="4" fillId="0" borderId="4" xfId="0" applyNumberFormat="1" applyFont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13" fillId="0" borderId="0" xfId="0" applyNumberFormat="1" applyFont="1" applyAlignment="1">
      <alignment horizontal="left" vertical="top"/>
    </xf>
    <xf numFmtId="0" fontId="9" fillId="0" borderId="4" xfId="0" applyFont="1" applyBorder="1" applyAlignment="1">
      <alignment vertical="top" wrapText="1"/>
    </xf>
    <xf numFmtId="4" fontId="9" fillId="0" borderId="4" xfId="0" applyNumberFormat="1" applyFont="1" applyBorder="1" applyAlignment="1">
      <alignment horizontal="center" vertical="top"/>
    </xf>
    <xf numFmtId="0" fontId="5" fillId="3" borderId="4" xfId="0" applyFont="1" applyFill="1" applyBorder="1"/>
    <xf numFmtId="4" fontId="5" fillId="3" borderId="4" xfId="0" applyNumberFormat="1" applyFont="1" applyFill="1" applyBorder="1"/>
    <xf numFmtId="4" fontId="5" fillId="3" borderId="4" xfId="0" applyNumberFormat="1" applyFont="1" applyFill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horizontal="center" vertical="top" wrapText="1"/>
    </xf>
    <xf numFmtId="4" fontId="14" fillId="0" borderId="0" xfId="0" applyNumberFormat="1" applyFont="1" applyAlignment="1">
      <alignment horizontal="left" vertical="top"/>
    </xf>
    <xf numFmtId="4" fontId="4" fillId="0" borderId="0" xfId="0" applyNumberFormat="1" applyFont="1"/>
    <xf numFmtId="4" fontId="4" fillId="0" borderId="0" xfId="0" applyNumberFormat="1" applyFont="1" applyAlignment="1">
      <alignment horizontal="left" vertical="top"/>
    </xf>
    <xf numFmtId="4" fontId="5" fillId="0" borderId="4" xfId="0" applyNumberFormat="1" applyFont="1" applyBorder="1" applyAlignment="1">
      <alignment horizontal="center" vertical="top"/>
    </xf>
    <xf numFmtId="4" fontId="9" fillId="0" borderId="4" xfId="0" applyNumberFormat="1" applyFont="1" applyBorder="1" applyAlignment="1">
      <alignment horizontal="center" vertical="center"/>
    </xf>
    <xf numFmtId="0" fontId="4" fillId="0" borderId="2" xfId="0" applyFont="1" applyBorder="1"/>
    <xf numFmtId="4" fontId="4" fillId="0" borderId="2" xfId="0" applyNumberFormat="1" applyFont="1" applyBorder="1"/>
    <xf numFmtId="4" fontId="5" fillId="3" borderId="4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/>
    </xf>
    <xf numFmtId="4" fontId="16" fillId="0" borderId="0" xfId="0" applyNumberFormat="1" applyFont="1" applyAlignment="1">
      <alignment horizontal="left" vertical="top"/>
    </xf>
    <xf numFmtId="0" fontId="8" fillId="0" borderId="7" xfId="0" applyFont="1" applyBorder="1" applyAlignment="1">
      <alignment vertical="top" wrapText="1"/>
    </xf>
    <xf numFmtId="0" fontId="13" fillId="0" borderId="0" xfId="0" applyFont="1" applyAlignment="1">
      <alignment horizontal="right" vertical="top"/>
    </xf>
    <xf numFmtId="4" fontId="4" fillId="0" borderId="0" xfId="0" applyNumberFormat="1" applyFont="1" applyBorder="1" applyAlignment="1">
      <alignment horizontal="left" vertical="top"/>
    </xf>
    <xf numFmtId="4" fontId="4" fillId="0" borderId="8" xfId="0" applyNumberFormat="1" applyFont="1" applyFill="1" applyBorder="1" applyAlignment="1">
      <alignment horizontal="center" vertical="top"/>
    </xf>
    <xf numFmtId="49" fontId="11" fillId="0" borderId="4" xfId="0" applyNumberFormat="1" applyFont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/>
    </xf>
    <xf numFmtId="4" fontId="15" fillId="0" borderId="2" xfId="0" applyNumberFormat="1" applyFont="1" applyFill="1" applyBorder="1" applyAlignment="1">
      <alignment horizontal="center" vertical="top"/>
    </xf>
    <xf numFmtId="49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4" fontId="8" fillId="0" borderId="3" xfId="0" applyNumberFormat="1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left"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vertical="top" wrapText="1"/>
    </xf>
    <xf numFmtId="4" fontId="16" fillId="0" borderId="0" xfId="0" applyNumberFormat="1" applyFont="1"/>
    <xf numFmtId="0" fontId="9" fillId="0" borderId="4" xfId="0" applyFont="1" applyFill="1" applyBorder="1" applyAlignment="1">
      <alignment vertical="top" wrapText="1"/>
    </xf>
    <xf numFmtId="4" fontId="0" fillId="0" borderId="0" xfId="0" applyNumberFormat="1"/>
    <xf numFmtId="4" fontId="4" fillId="0" borderId="1" xfId="0" applyNumberFormat="1" applyFont="1" applyFill="1" applyBorder="1" applyAlignment="1">
      <alignment horizontal="center" vertical="top"/>
    </xf>
    <xf numFmtId="4" fontId="18" fillId="0" borderId="0" xfId="0" applyNumberFormat="1" applyFont="1"/>
    <xf numFmtId="4" fontId="4" fillId="0" borderId="7" xfId="0" applyNumberFormat="1" applyFont="1" applyFill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/>
    </xf>
    <xf numFmtId="49" fontId="4" fillId="0" borderId="12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" fontId="16" fillId="0" borderId="0" xfId="0" applyNumberFormat="1" applyFont="1" applyAlignment="1">
      <alignment vertical="top"/>
    </xf>
    <xf numFmtId="4" fontId="11" fillId="0" borderId="0" xfId="0" applyNumberFormat="1" applyFont="1" applyAlignment="1">
      <alignment horizontal="left" vertical="top"/>
    </xf>
    <xf numFmtId="4" fontId="11" fillId="0" borderId="1" xfId="0" applyNumberFormat="1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/>
    </xf>
    <xf numFmtId="0" fontId="11" fillId="0" borderId="14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4" fontId="5" fillId="0" borderId="8" xfId="0" applyNumberFormat="1" applyFont="1" applyFill="1" applyBorder="1" applyAlignment="1">
      <alignment horizontal="center" vertical="top"/>
    </xf>
    <xf numFmtId="4" fontId="7" fillId="0" borderId="0" xfId="0" applyNumberFormat="1" applyFont="1" applyAlignment="1">
      <alignment horizontal="left" vertical="top"/>
    </xf>
    <xf numFmtId="0" fontId="8" fillId="0" borderId="5" xfId="0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top"/>
    </xf>
    <xf numFmtId="4" fontId="15" fillId="2" borderId="4" xfId="0" applyNumberFormat="1" applyFont="1" applyFill="1" applyBorder="1" applyAlignment="1">
      <alignment horizontal="center" vertical="top"/>
    </xf>
    <xf numFmtId="0" fontId="4" fillId="0" borderId="8" xfId="0" applyFont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4" fontId="4" fillId="0" borderId="7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/>
    </xf>
    <xf numFmtId="4" fontId="5" fillId="0" borderId="5" xfId="0" applyNumberFormat="1" applyFont="1" applyFill="1" applyBorder="1" applyAlignment="1">
      <alignment horizontal="center" vertical="top"/>
    </xf>
    <xf numFmtId="4" fontId="9" fillId="0" borderId="1" xfId="0" applyNumberFormat="1" applyFont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20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 wrapText="1"/>
    </xf>
    <xf numFmtId="4" fontId="16" fillId="0" borderId="0" xfId="0" applyNumberFormat="1" applyFont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vertical="center" wrapText="1"/>
    </xf>
    <xf numFmtId="0" fontId="11" fillId="0" borderId="4" xfId="0" applyFont="1" applyBorder="1"/>
    <xf numFmtId="0" fontId="5" fillId="0" borderId="2" xfId="0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/>
    </xf>
    <xf numFmtId="0" fontId="8" fillId="0" borderId="8" xfId="0" applyFont="1" applyBorder="1" applyAlignment="1">
      <alignment vertical="top" wrapText="1"/>
    </xf>
    <xf numFmtId="49" fontId="4" fillId="4" borderId="2" xfId="0" applyNumberFormat="1" applyFont="1" applyFill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/>
    </xf>
    <xf numFmtId="4" fontId="4" fillId="0" borderId="8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 vertical="top"/>
    </xf>
    <xf numFmtId="4" fontId="15" fillId="0" borderId="8" xfId="0" applyNumberFormat="1" applyFont="1" applyBorder="1" applyAlignment="1">
      <alignment horizontal="center" vertical="top"/>
    </xf>
    <xf numFmtId="4" fontId="15" fillId="0" borderId="2" xfId="0" applyNumberFormat="1" applyFont="1" applyBorder="1" applyAlignment="1">
      <alignment horizontal="center" vertical="top"/>
    </xf>
    <xf numFmtId="4" fontId="15" fillId="0" borderId="3" xfId="0" applyNumberFormat="1" applyFont="1" applyBorder="1" applyAlignment="1">
      <alignment horizontal="center" vertical="top"/>
    </xf>
    <xf numFmtId="0" fontId="4" fillId="0" borderId="7" xfId="0" applyFont="1" applyFill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vertical="center" wrapText="1"/>
    </xf>
    <xf numFmtId="4" fontId="0" fillId="0" borderId="0" xfId="0" applyNumberFormat="1" applyBorder="1" applyAlignment="1">
      <alignment horizontal="left" vertical="top"/>
    </xf>
    <xf numFmtId="0" fontId="5" fillId="0" borderId="8" xfId="0" applyFont="1" applyFill="1" applyBorder="1" applyAlignment="1">
      <alignment vertical="top" wrapText="1"/>
    </xf>
    <xf numFmtId="0" fontId="5" fillId="0" borderId="8" xfId="0" applyFont="1" applyFill="1" applyBorder="1"/>
    <xf numFmtId="4" fontId="5" fillId="0" borderId="8" xfId="0" applyNumberFormat="1" applyFont="1" applyFill="1" applyBorder="1"/>
    <xf numFmtId="49" fontId="19" fillId="0" borderId="2" xfId="0" applyNumberFormat="1" applyFont="1" applyBorder="1" applyAlignment="1">
      <alignment horizontal="left" vertical="center" wrapText="1"/>
    </xf>
    <xf numFmtId="0" fontId="8" fillId="5" borderId="2" xfId="0" applyFont="1" applyFill="1" applyBorder="1" applyAlignment="1">
      <alignment vertical="top" wrapText="1"/>
    </xf>
    <xf numFmtId="0" fontId="8" fillId="5" borderId="5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  <xf numFmtId="0" fontId="21" fillId="0" borderId="0" xfId="0" applyFont="1" applyAlignment="1">
      <alignment vertical="top"/>
    </xf>
    <xf numFmtId="49" fontId="4" fillId="0" borderId="3" xfId="0" applyNumberFormat="1" applyFont="1" applyBorder="1" applyAlignment="1">
      <alignment horizontal="center" vertical="top" wrapText="1"/>
    </xf>
    <xf numFmtId="4" fontId="4" fillId="5" borderId="5" xfId="0" applyNumberFormat="1" applyFont="1" applyFill="1" applyBorder="1" applyAlignment="1">
      <alignment horizontal="center" vertical="top" wrapText="1"/>
    </xf>
    <xf numFmtId="49" fontId="4" fillId="5" borderId="2" xfId="0" applyNumberFormat="1" applyFont="1" applyFill="1" applyBorder="1" applyAlignment="1">
      <alignment horizontal="left" vertical="top" wrapText="1"/>
    </xf>
    <xf numFmtId="4" fontId="0" fillId="6" borderId="11" xfId="0" applyNumberFormat="1" applyFill="1" applyBorder="1" applyAlignment="1">
      <alignment horizontal="left" vertical="top"/>
    </xf>
    <xf numFmtId="0" fontId="11" fillId="0" borderId="0" xfId="0" applyFont="1" applyBorder="1" applyAlignment="1">
      <alignment vertical="top" wrapText="1"/>
    </xf>
    <xf numFmtId="0" fontId="5" fillId="0" borderId="4" xfId="0" applyFont="1" applyBorder="1" applyAlignment="1">
      <alignment vertical="center" wrapText="1"/>
    </xf>
    <xf numFmtId="49" fontId="19" fillId="0" borderId="8" xfId="0" applyNumberFormat="1" applyFont="1" applyBorder="1" applyAlignment="1">
      <alignment horizontal="left" vertical="center" wrapText="1"/>
    </xf>
    <xf numFmtId="49" fontId="19" fillId="0" borderId="3" xfId="0" applyNumberFormat="1" applyFont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left" vertical="top" wrapText="1"/>
    </xf>
    <xf numFmtId="4" fontId="23" fillId="0" borderId="1" xfId="0" applyNumberFormat="1" applyFont="1" applyFill="1" applyBorder="1" applyAlignment="1">
      <alignment horizontal="center" vertical="top" wrapText="1"/>
    </xf>
    <xf numFmtId="0" fontId="21" fillId="0" borderId="2" xfId="0" applyFont="1" applyBorder="1"/>
    <xf numFmtId="4" fontId="21" fillId="0" borderId="2" xfId="0" applyNumberFormat="1" applyFont="1" applyBorder="1"/>
    <xf numFmtId="4" fontId="23" fillId="0" borderId="2" xfId="0" applyNumberFormat="1" applyFont="1" applyBorder="1" applyAlignment="1">
      <alignment horizontal="center" vertical="top"/>
    </xf>
    <xf numFmtId="0" fontId="24" fillId="0" borderId="3" xfId="0" applyFont="1" applyBorder="1" applyAlignment="1">
      <alignment vertical="top" wrapText="1"/>
    </xf>
    <xf numFmtId="49" fontId="23" fillId="0" borderId="3" xfId="0" applyNumberFormat="1" applyFont="1" applyBorder="1" applyAlignment="1">
      <alignment horizontal="left" vertical="top" wrapText="1"/>
    </xf>
    <xf numFmtId="0" fontId="23" fillId="0" borderId="3" xfId="0" applyFont="1" applyBorder="1" applyAlignment="1">
      <alignment horizontal="center" vertical="top" wrapText="1"/>
    </xf>
    <xf numFmtId="4" fontId="23" fillId="0" borderId="3" xfId="0" applyNumberFormat="1" applyFont="1" applyBorder="1" applyAlignment="1">
      <alignment horizontal="center" vertical="top"/>
    </xf>
    <xf numFmtId="0" fontId="24" fillId="0" borderId="2" xfId="0" applyFont="1" applyBorder="1" applyAlignment="1">
      <alignment vertical="top" wrapText="1"/>
    </xf>
    <xf numFmtId="49" fontId="23" fillId="0" borderId="3" xfId="0" applyNumberFormat="1" applyFont="1" applyFill="1" applyBorder="1" applyAlignment="1">
      <alignment horizontal="left" vertical="top" wrapText="1"/>
    </xf>
    <xf numFmtId="4" fontId="23" fillId="0" borderId="3" xfId="0" applyNumberFormat="1" applyFont="1" applyFill="1" applyBorder="1" applyAlignment="1">
      <alignment horizontal="center" vertical="top"/>
    </xf>
    <xf numFmtId="0" fontId="24" fillId="0" borderId="3" xfId="0" applyFont="1" applyFill="1" applyBorder="1" applyAlignment="1">
      <alignment vertical="top" wrapText="1"/>
    </xf>
    <xf numFmtId="0" fontId="23" fillId="0" borderId="3" xfId="0" applyFont="1" applyFill="1" applyBorder="1" applyAlignment="1">
      <alignment horizontal="center" vertical="top" wrapText="1"/>
    </xf>
    <xf numFmtId="4" fontId="23" fillId="0" borderId="3" xfId="0" applyNumberFormat="1" applyFont="1" applyFill="1" applyBorder="1" applyAlignment="1">
      <alignment horizontal="center" vertical="top" wrapText="1"/>
    </xf>
    <xf numFmtId="0" fontId="24" fillId="0" borderId="7" xfId="0" applyFont="1" applyFill="1" applyBorder="1" applyAlignment="1">
      <alignment vertical="top" wrapText="1"/>
    </xf>
    <xf numFmtId="4" fontId="23" fillId="0" borderId="7" xfId="0" applyNumberFormat="1" applyFont="1" applyFill="1" applyBorder="1" applyAlignment="1">
      <alignment horizontal="center" vertical="top" wrapText="1"/>
    </xf>
    <xf numFmtId="49" fontId="23" fillId="0" borderId="4" xfId="0" applyNumberFormat="1" applyFont="1" applyFill="1" applyBorder="1" applyAlignment="1">
      <alignment horizontal="left" vertical="top" wrapText="1"/>
    </xf>
    <xf numFmtId="0" fontId="23" fillId="0" borderId="4" xfId="0" applyFont="1" applyFill="1" applyBorder="1" applyAlignment="1">
      <alignment horizontal="center" vertical="top" wrapText="1"/>
    </xf>
    <xf numFmtId="4" fontId="23" fillId="0" borderId="4" xfId="0" applyNumberFormat="1" applyFont="1" applyFill="1" applyBorder="1" applyAlignment="1">
      <alignment horizontal="center" vertical="top" wrapText="1"/>
    </xf>
    <xf numFmtId="4" fontId="23" fillId="0" borderId="4" xfId="0" applyNumberFormat="1" applyFont="1" applyFill="1" applyBorder="1" applyAlignment="1">
      <alignment horizontal="center" vertical="top"/>
    </xf>
    <xf numFmtId="0" fontId="23" fillId="0" borderId="2" xfId="0" applyFont="1" applyBorder="1" applyAlignment="1">
      <alignment vertical="top" wrapText="1"/>
    </xf>
    <xf numFmtId="14" fontId="23" fillId="0" borderId="2" xfId="0" applyNumberFormat="1" applyFont="1" applyBorder="1" applyAlignment="1">
      <alignment vertical="top" wrapText="1"/>
    </xf>
    <xf numFmtId="0" fontId="23" fillId="0" borderId="3" xfId="0" applyFont="1" applyBorder="1" applyAlignment="1">
      <alignment vertical="top" wrapText="1"/>
    </xf>
    <xf numFmtId="14" fontId="23" fillId="0" borderId="3" xfId="0" applyNumberFormat="1" applyFont="1" applyBorder="1" applyAlignment="1">
      <alignment vertical="top" wrapText="1"/>
    </xf>
    <xf numFmtId="4" fontId="23" fillId="0" borderId="3" xfId="0" applyNumberFormat="1" applyFont="1" applyBorder="1" applyAlignment="1">
      <alignment horizontal="center" vertical="top" wrapText="1"/>
    </xf>
    <xf numFmtId="4" fontId="23" fillId="0" borderId="7" xfId="0" applyNumberFormat="1" applyFont="1" applyBorder="1" applyAlignment="1">
      <alignment horizontal="center" vertical="top" wrapText="1"/>
    </xf>
    <xf numFmtId="4" fontId="23" fillId="4" borderId="2" xfId="0" applyNumberFormat="1" applyFont="1" applyFill="1" applyBorder="1" applyAlignment="1">
      <alignment horizontal="center" vertical="top" wrapText="1"/>
    </xf>
    <xf numFmtId="4" fontId="23" fillId="4" borderId="1" xfId="0" applyNumberFormat="1" applyFont="1" applyFill="1" applyBorder="1" applyAlignment="1">
      <alignment horizontal="center" vertical="top" wrapText="1"/>
    </xf>
    <xf numFmtId="0" fontId="23" fillId="0" borderId="7" xfId="0" applyFont="1" applyFill="1" applyBorder="1" applyAlignment="1">
      <alignment vertical="top" wrapText="1"/>
    </xf>
    <xf numFmtId="0" fontId="23" fillId="0" borderId="3" xfId="0" applyFont="1" applyFill="1" applyBorder="1" applyAlignment="1">
      <alignment vertical="top" wrapText="1"/>
    </xf>
    <xf numFmtId="49" fontId="23" fillId="0" borderId="3" xfId="0" applyNumberFormat="1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/>
    </xf>
    <xf numFmtId="0" fontId="23" fillId="0" borderId="3" xfId="0" applyFont="1" applyBorder="1" applyAlignment="1">
      <alignment horizontal="center" vertical="top"/>
    </xf>
    <xf numFmtId="0" fontId="23" fillId="0" borderId="7" xfId="0" applyFont="1" applyBorder="1" applyAlignment="1">
      <alignment horizontal="center" vertical="top"/>
    </xf>
    <xf numFmtId="4" fontId="23" fillId="0" borderId="7" xfId="0" applyNumberFormat="1" applyFont="1" applyBorder="1" applyAlignment="1">
      <alignment horizontal="center" vertical="top"/>
    </xf>
    <xf numFmtId="0" fontId="23" fillId="0" borderId="7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5" borderId="8" xfId="0" applyFont="1" applyFill="1" applyBorder="1" applyAlignment="1">
      <alignment vertical="top" wrapText="1"/>
    </xf>
    <xf numFmtId="0" fontId="8" fillId="5" borderId="7" xfId="0" applyFont="1" applyFill="1" applyBorder="1" applyAlignment="1">
      <alignment vertical="top" wrapText="1"/>
    </xf>
    <xf numFmtId="49" fontId="4" fillId="0" borderId="13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49" fontId="4" fillId="5" borderId="8" xfId="0" applyNumberFormat="1" applyFont="1" applyFill="1" applyBorder="1" applyAlignment="1">
      <alignment horizontal="left" vertical="top" wrapText="1"/>
    </xf>
    <xf numFmtId="0" fontId="0" fillId="0" borderId="2" xfId="0" applyFont="1" applyBorder="1"/>
    <xf numFmtId="4" fontId="8" fillId="0" borderId="2" xfId="0" applyNumberFormat="1" applyFont="1" applyFill="1" applyBorder="1" applyAlignment="1">
      <alignment horizontal="center" vertical="top"/>
    </xf>
    <xf numFmtId="4" fontId="4" fillId="5" borderId="8" xfId="0" applyNumberFormat="1" applyFont="1" applyFill="1" applyBorder="1" applyAlignment="1">
      <alignment horizontal="center" vertical="justify"/>
    </xf>
    <xf numFmtId="4" fontId="4" fillId="5" borderId="2" xfId="0" applyNumberFormat="1" applyFont="1" applyFill="1" applyBorder="1" applyAlignment="1">
      <alignment horizontal="center" vertical="top"/>
    </xf>
    <xf numFmtId="4" fontId="4" fillId="5" borderId="1" xfId="0" applyNumberFormat="1" applyFont="1" applyFill="1" applyBorder="1" applyAlignment="1">
      <alignment horizontal="center" vertical="top"/>
    </xf>
    <xf numFmtId="4" fontId="4" fillId="5" borderId="3" xfId="0" applyNumberFormat="1" applyFont="1" applyFill="1" applyBorder="1" applyAlignment="1">
      <alignment horizontal="center" vertical="top"/>
    </xf>
    <xf numFmtId="4" fontId="4" fillId="5" borderId="8" xfId="0" applyNumberFormat="1" applyFont="1" applyFill="1" applyBorder="1" applyAlignment="1">
      <alignment horizontal="center" vertical="top" wrapText="1"/>
    </xf>
    <xf numFmtId="14" fontId="4" fillId="0" borderId="8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center" vertical="top" wrapText="1"/>
    </xf>
    <xf numFmtId="4" fontId="4" fillId="4" borderId="2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Fill="1" applyBorder="1" applyAlignment="1">
      <alignment horizontal="center" vertical="top" wrapText="1"/>
    </xf>
    <xf numFmtId="4" fontId="8" fillId="5" borderId="1" xfId="0" applyNumberFormat="1" applyFont="1" applyFill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center" vertical="top" wrapText="1"/>
    </xf>
    <xf numFmtId="4" fontId="8" fillId="5" borderId="3" xfId="0" applyNumberFormat="1" applyFont="1" applyFill="1" applyBorder="1" applyAlignment="1">
      <alignment horizontal="center" vertical="top" wrapText="1"/>
    </xf>
    <xf numFmtId="4" fontId="4" fillId="5" borderId="3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8" fillId="0" borderId="7" xfId="0" applyNumberFormat="1" applyFont="1" applyBorder="1" applyAlignment="1">
      <alignment horizontal="center" vertical="top" wrapText="1"/>
    </xf>
    <xf numFmtId="4" fontId="4" fillId="0" borderId="7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center" vertical="top"/>
    </xf>
    <xf numFmtId="4" fontId="9" fillId="0" borderId="3" xfId="0" applyNumberFormat="1" applyFont="1" applyBorder="1" applyAlignment="1">
      <alignment horizontal="center" vertical="top"/>
    </xf>
    <xf numFmtId="49" fontId="11" fillId="0" borderId="2" xfId="0" applyNumberFormat="1" applyFont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left" vertical="top" wrapText="1"/>
    </xf>
    <xf numFmtId="4" fontId="4" fillId="0" borderId="19" xfId="0" applyNumberFormat="1" applyFont="1" applyBorder="1" applyAlignment="1">
      <alignment horizontal="center" vertical="top"/>
    </xf>
    <xf numFmtId="4" fontId="5" fillId="0" borderId="8" xfId="0" applyNumberFormat="1" applyFont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center" vertical="top"/>
    </xf>
    <xf numFmtId="0" fontId="8" fillId="0" borderId="4" xfId="0" applyFont="1" applyBorder="1" applyAlignment="1">
      <alignment vertical="top" wrapText="1"/>
    </xf>
    <xf numFmtId="4" fontId="5" fillId="0" borderId="4" xfId="0" applyNumberFormat="1" applyFont="1" applyBorder="1" applyAlignment="1">
      <alignment horizontal="center" vertical="top" wrapText="1"/>
    </xf>
    <xf numFmtId="4" fontId="4" fillId="5" borderId="8" xfId="0" applyNumberFormat="1" applyFont="1" applyFill="1" applyBorder="1" applyAlignment="1">
      <alignment horizontal="center" vertical="top"/>
    </xf>
    <xf numFmtId="4" fontId="4" fillId="5" borderId="5" xfId="0" applyNumberFormat="1" applyFont="1" applyFill="1" applyBorder="1" applyAlignment="1">
      <alignment horizontal="center" vertical="top"/>
    </xf>
    <xf numFmtId="4" fontId="23" fillId="5" borderId="8" xfId="0" applyNumberFormat="1" applyFont="1" applyFill="1" applyBorder="1" applyAlignment="1">
      <alignment horizontal="center" vertical="top"/>
    </xf>
    <xf numFmtId="0" fontId="4" fillId="5" borderId="4" xfId="0" applyFont="1" applyFill="1" applyBorder="1" applyAlignment="1">
      <alignment vertical="top" wrapText="1"/>
    </xf>
    <xf numFmtId="4" fontId="5" fillId="5" borderId="4" xfId="0" applyNumberFormat="1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vertical="top" wrapText="1"/>
    </xf>
    <xf numFmtId="0" fontId="5" fillId="5" borderId="4" xfId="0" applyFont="1" applyFill="1" applyBorder="1" applyAlignment="1">
      <alignment vertical="top" wrapText="1"/>
    </xf>
    <xf numFmtId="0" fontId="4" fillId="5" borderId="4" xfId="0" applyFont="1" applyFill="1" applyBorder="1" applyAlignment="1">
      <alignment horizontal="left" vertical="top" wrapText="1"/>
    </xf>
    <xf numFmtId="0" fontId="4" fillId="5" borderId="4" xfId="0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top"/>
    </xf>
    <xf numFmtId="0" fontId="4" fillId="5" borderId="8" xfId="0" applyFont="1" applyFill="1" applyBorder="1" applyAlignment="1">
      <alignment horizontal="left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/>
    </xf>
    <xf numFmtId="4" fontId="4" fillId="5" borderId="2" xfId="0" applyNumberFormat="1" applyFont="1" applyFill="1" applyBorder="1" applyAlignment="1">
      <alignment horizontal="center" vertical="top" wrapText="1"/>
    </xf>
    <xf numFmtId="4" fontId="23" fillId="5" borderId="3" xfId="0" applyNumberFormat="1" applyFont="1" applyFill="1" applyBorder="1" applyAlignment="1">
      <alignment horizontal="center" vertical="top" wrapText="1"/>
    </xf>
    <xf numFmtId="4" fontId="23" fillId="5" borderId="3" xfId="0" applyNumberFormat="1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horizontal="center" vertical="top"/>
    </xf>
    <xf numFmtId="4" fontId="4" fillId="5" borderId="6" xfId="0" applyNumberFormat="1" applyFont="1" applyFill="1" applyBorder="1" applyAlignment="1">
      <alignment horizontal="center" vertical="top"/>
    </xf>
    <xf numFmtId="0" fontId="4" fillId="5" borderId="8" xfId="0" applyFont="1" applyFill="1" applyBorder="1" applyAlignment="1">
      <alignment horizontal="center" vertical="top"/>
    </xf>
    <xf numFmtId="0" fontId="4" fillId="5" borderId="7" xfId="0" applyFont="1" applyFill="1" applyBorder="1" applyAlignment="1">
      <alignment horizontal="center" vertical="top" wrapText="1"/>
    </xf>
    <xf numFmtId="0" fontId="23" fillId="5" borderId="7" xfId="0" applyFont="1" applyFill="1" applyBorder="1" applyAlignment="1">
      <alignment horizontal="center" vertical="top"/>
    </xf>
    <xf numFmtId="4" fontId="4" fillId="5" borderId="7" xfId="0" applyNumberFormat="1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/>
    </xf>
    <xf numFmtId="0" fontId="23" fillId="5" borderId="3" xfId="0" applyFont="1" applyFill="1" applyBorder="1" applyAlignment="1">
      <alignment horizontal="center" vertical="top" wrapText="1"/>
    </xf>
    <xf numFmtId="0" fontId="23" fillId="5" borderId="3" xfId="0" applyFont="1" applyFill="1" applyBorder="1" applyAlignment="1">
      <alignment horizontal="center" vertical="top"/>
    </xf>
    <xf numFmtId="0" fontId="4" fillId="5" borderId="7" xfId="0" applyFont="1" applyFill="1" applyBorder="1" applyAlignment="1">
      <alignment vertical="top" wrapText="1"/>
    </xf>
    <xf numFmtId="49" fontId="23" fillId="0" borderId="4" xfId="0" applyNumberFormat="1" applyFont="1" applyBorder="1" applyAlignment="1">
      <alignment horizontal="left" vertical="top" wrapText="1"/>
    </xf>
    <xf numFmtId="0" fontId="24" fillId="0" borderId="4" xfId="0" applyFont="1" applyFill="1" applyBorder="1" applyAlignment="1">
      <alignment vertical="top" wrapText="1"/>
    </xf>
    <xf numFmtId="49" fontId="17" fillId="0" borderId="4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/>
    </xf>
    <xf numFmtId="4" fontId="17" fillId="0" borderId="4" xfId="0" applyNumberFormat="1" applyFont="1" applyBorder="1" applyAlignment="1">
      <alignment horizontal="center" vertical="top"/>
    </xf>
    <xf numFmtId="0" fontId="8" fillId="4" borderId="8" xfId="0" applyFont="1" applyFill="1" applyBorder="1" applyAlignment="1">
      <alignment vertical="top" wrapText="1"/>
    </xf>
    <xf numFmtId="49" fontId="4" fillId="5" borderId="5" xfId="0" applyNumberFormat="1" applyFont="1" applyFill="1" applyBorder="1" applyAlignment="1">
      <alignment horizontal="left" vertical="top" wrapText="1"/>
    </xf>
    <xf numFmtId="0" fontId="8" fillId="5" borderId="6" xfId="0" applyFont="1" applyFill="1" applyBorder="1" applyAlignment="1">
      <alignment vertical="top" wrapText="1"/>
    </xf>
    <xf numFmtId="49" fontId="4" fillId="5" borderId="6" xfId="0" applyNumberFormat="1" applyFont="1" applyFill="1" applyBorder="1" applyAlignment="1">
      <alignment horizontal="left" vertical="top" wrapText="1"/>
    </xf>
    <xf numFmtId="49" fontId="4" fillId="5" borderId="3" xfId="0" applyNumberFormat="1" applyFont="1" applyFill="1" applyBorder="1" applyAlignment="1">
      <alignment horizontal="left" vertical="top" wrapText="1"/>
    </xf>
    <xf numFmtId="0" fontId="8" fillId="4" borderId="3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4" fontId="8" fillId="0" borderId="5" xfId="0" applyNumberFormat="1" applyFont="1" applyBorder="1" applyAlignment="1">
      <alignment horizontal="center" vertical="top" wrapText="1"/>
    </xf>
    <xf numFmtId="0" fontId="19" fillId="0" borderId="8" xfId="0" applyFont="1" applyBorder="1" applyAlignment="1">
      <alignment vertical="top" wrapText="1"/>
    </xf>
    <xf numFmtId="0" fontId="4" fillId="5" borderId="2" xfId="0" applyFont="1" applyFill="1" applyBorder="1"/>
    <xf numFmtId="4" fontId="8" fillId="0" borderId="3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4" fillId="5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/>
    </xf>
    <xf numFmtId="4" fontId="4" fillId="5" borderId="5" xfId="0" applyNumberFormat="1" applyFont="1" applyFill="1" applyBorder="1" applyAlignment="1">
      <alignment horizontal="center" vertical="justify"/>
    </xf>
    <xf numFmtId="4" fontId="4" fillId="0" borderId="6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49" fontId="23" fillId="0" borderId="1" xfId="0" applyNumberFormat="1" applyFont="1" applyBorder="1" applyAlignment="1">
      <alignment horizontal="left" vertical="top" wrapText="1"/>
    </xf>
    <xf numFmtId="0" fontId="24" fillId="0" borderId="5" xfId="0" applyFont="1" applyFill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4" fontId="4" fillId="0" borderId="6" xfId="0" applyNumberFormat="1" applyFont="1" applyBorder="1" applyAlignment="1">
      <alignment horizontal="center" vertical="top" wrapText="1"/>
    </xf>
    <xf numFmtId="49" fontId="23" fillId="0" borderId="5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8" fillId="5" borderId="1" xfId="0" applyFont="1" applyFill="1" applyBorder="1" applyAlignment="1">
      <alignment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center" vertical="top" wrapText="1"/>
    </xf>
    <xf numFmtId="0" fontId="26" fillId="0" borderId="8" xfId="0" applyFont="1" applyBorder="1" applyAlignment="1">
      <alignment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" fontId="11" fillId="0" borderId="6" xfId="0" applyNumberFormat="1" applyFont="1" applyFill="1" applyBorder="1" applyAlignment="1">
      <alignment horizontal="center" vertical="top" wrapText="1"/>
    </xf>
    <xf numFmtId="4" fontId="11" fillId="0" borderId="6" xfId="0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/>
    </xf>
    <xf numFmtId="49" fontId="4" fillId="5" borderId="20" xfId="0" applyNumberFormat="1" applyFont="1" applyFill="1" applyBorder="1" applyAlignment="1">
      <alignment horizontal="left" vertical="top" wrapText="1"/>
    </xf>
    <xf numFmtId="49" fontId="4" fillId="5" borderId="12" xfId="0" applyNumberFormat="1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/>
    </xf>
    <xf numFmtId="4" fontId="11" fillId="0" borderId="3" xfId="0" applyNumberFormat="1" applyFont="1" applyBorder="1" applyAlignment="1">
      <alignment horizontal="center" vertical="top"/>
    </xf>
    <xf numFmtId="4" fontId="5" fillId="5" borderId="7" xfId="0" applyNumberFormat="1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left" vertical="center" wrapText="1"/>
    </xf>
    <xf numFmtId="4" fontId="4" fillId="0" borderId="6" xfId="0" applyNumberFormat="1" applyFont="1" applyFill="1" applyBorder="1" applyAlignment="1">
      <alignment horizontal="center" vertical="top" wrapText="1"/>
    </xf>
    <xf numFmtId="4" fontId="4" fillId="0" borderId="21" xfId="0" applyNumberFormat="1" applyFont="1" applyBorder="1" applyAlignment="1">
      <alignment horizontal="center" vertical="top"/>
    </xf>
    <xf numFmtId="49" fontId="4" fillId="5" borderId="1" xfId="0" applyNumberFormat="1" applyFont="1" applyFill="1" applyBorder="1" applyAlignment="1">
      <alignment horizontal="left" vertical="top" wrapText="1"/>
    </xf>
    <xf numFmtId="0" fontId="23" fillId="0" borderId="2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vertical="top" wrapText="1"/>
    </xf>
    <xf numFmtId="14" fontId="11" fillId="0" borderId="4" xfId="0" applyNumberFormat="1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4" fillId="5" borderId="6" xfId="0" applyFont="1" applyFill="1" applyBorder="1" applyAlignment="1">
      <alignment vertical="top" wrapText="1"/>
    </xf>
    <xf numFmtId="4" fontId="4" fillId="5" borderId="6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12" fillId="0" borderId="6" xfId="0" applyFont="1" applyFill="1" applyBorder="1" applyAlignment="1">
      <alignment vertical="top" wrapText="1"/>
    </xf>
    <xf numFmtId="0" fontId="23" fillId="0" borderId="6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" fontId="11" fillId="0" borderId="2" xfId="0" applyNumberFormat="1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49" fontId="11" fillId="5" borderId="2" xfId="0" applyNumberFormat="1" applyFont="1" applyFill="1" applyBorder="1" applyAlignment="1">
      <alignment horizontal="left" vertical="top" wrapText="1"/>
    </xf>
    <xf numFmtId="49" fontId="11" fillId="5" borderId="3" xfId="0" applyNumberFormat="1" applyFont="1" applyFill="1" applyBorder="1" applyAlignment="1">
      <alignment horizontal="left" vertical="top" wrapText="1"/>
    </xf>
    <xf numFmtId="0" fontId="24" fillId="0" borderId="1" xfId="0" applyFont="1" applyBorder="1" applyAlignment="1">
      <alignment vertical="top" wrapText="1"/>
    </xf>
    <xf numFmtId="4" fontId="13" fillId="0" borderId="0" xfId="0" applyNumberFormat="1" applyFont="1" applyAlignment="1">
      <alignment horizontal="right" vertical="top"/>
    </xf>
    <xf numFmtId="0" fontId="4" fillId="0" borderId="16" xfId="0" applyFont="1" applyBorder="1" applyAlignment="1">
      <alignment vertical="top" wrapText="1"/>
    </xf>
    <xf numFmtId="49" fontId="4" fillId="0" borderId="16" xfId="0" applyNumberFormat="1" applyFont="1" applyFill="1" applyBorder="1" applyAlignment="1">
      <alignment horizontal="left" vertical="top" wrapText="1"/>
    </xf>
    <xf numFmtId="0" fontId="4" fillId="5" borderId="16" xfId="0" applyFont="1" applyFill="1" applyBorder="1" applyAlignment="1">
      <alignment horizontal="center" vertical="top" wrapText="1"/>
    </xf>
    <xf numFmtId="4" fontId="4" fillId="5" borderId="16" xfId="0" applyNumberFormat="1" applyFont="1" applyFill="1" applyBorder="1" applyAlignment="1">
      <alignment horizontal="center" vertical="top" wrapText="1"/>
    </xf>
    <xf numFmtId="4" fontId="27" fillId="0" borderId="2" xfId="0" applyNumberFormat="1" applyFont="1" applyBorder="1" applyAlignment="1">
      <alignment horizontal="center" vertical="top"/>
    </xf>
    <xf numFmtId="4" fontId="27" fillId="0" borderId="5" xfId="0" applyNumberFormat="1" applyFont="1" applyBorder="1" applyAlignment="1">
      <alignment horizontal="center" vertical="top"/>
    </xf>
    <xf numFmtId="4" fontId="13" fillId="0" borderId="0" xfId="0" applyNumberFormat="1" applyFont="1" applyAlignment="1">
      <alignment vertical="top"/>
    </xf>
    <xf numFmtId="0" fontId="0" fillId="0" borderId="0" xfId="0" applyAlignment="1">
      <alignment horizontal="right"/>
    </xf>
    <xf numFmtId="0" fontId="4" fillId="5" borderId="2" xfId="0" applyFont="1" applyFill="1" applyBorder="1" applyAlignment="1">
      <alignment vertical="center" wrapText="1"/>
    </xf>
    <xf numFmtId="4" fontId="29" fillId="0" borderId="0" xfId="0" applyNumberFormat="1" applyFont="1" applyAlignment="1">
      <alignment vertical="top"/>
    </xf>
    <xf numFmtId="16" fontId="13" fillId="0" borderId="0" xfId="0" applyNumberFormat="1" applyFont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49" fontId="23" fillId="0" borderId="7" xfId="0" applyNumberFormat="1" applyFont="1" applyBorder="1" applyAlignment="1">
      <alignment horizontal="left" vertical="top" wrapText="1"/>
    </xf>
    <xf numFmtId="4" fontId="21" fillId="0" borderId="0" xfId="0" applyNumberFormat="1" applyFont="1" applyAlignment="1">
      <alignment horizontal="left" vertical="top"/>
    </xf>
    <xf numFmtId="4" fontId="21" fillId="0" borderId="0" xfId="0" applyNumberFormat="1" applyFont="1" applyAlignment="1">
      <alignment horizontal="center" vertical="top"/>
    </xf>
    <xf numFmtId="49" fontId="4" fillId="5" borderId="8" xfId="0" applyNumberFormat="1" applyFont="1" applyFill="1" applyBorder="1" applyAlignment="1">
      <alignment horizontal="center" vertical="top" wrapText="1"/>
    </xf>
    <xf numFmtId="49" fontId="19" fillId="5" borderId="2" xfId="0" applyNumberFormat="1" applyFont="1" applyFill="1" applyBorder="1" applyAlignment="1">
      <alignment horizontal="left" vertical="center" wrapText="1"/>
    </xf>
    <xf numFmtId="4" fontId="9" fillId="0" borderId="7" xfId="0" applyNumberFormat="1" applyFont="1" applyBorder="1" applyAlignment="1">
      <alignment horizontal="center" vertical="top" wrapText="1"/>
    </xf>
    <xf numFmtId="0" fontId="8" fillId="5" borderId="8" xfId="0" applyFont="1" applyFill="1" applyBorder="1" applyAlignment="1">
      <alignment vertical="top" wrapText="1"/>
    </xf>
    <xf numFmtId="4" fontId="10" fillId="5" borderId="0" xfId="0" applyNumberFormat="1" applyFont="1" applyFill="1" applyBorder="1" applyAlignment="1">
      <alignment horizontal="center" vertical="top"/>
    </xf>
    <xf numFmtId="4" fontId="22" fillId="5" borderId="0" xfId="0" applyNumberFormat="1" applyFont="1" applyFill="1" applyBorder="1" applyAlignment="1">
      <alignment horizontal="center" vertical="top"/>
    </xf>
    <xf numFmtId="0" fontId="0" fillId="0" borderId="11" xfId="0" applyBorder="1"/>
    <xf numFmtId="49" fontId="4" fillId="5" borderId="7" xfId="0" applyNumberFormat="1" applyFont="1" applyFill="1" applyBorder="1" applyAlignment="1">
      <alignment horizontal="left" vertical="top" wrapText="1"/>
    </xf>
    <xf numFmtId="0" fontId="5" fillId="0" borderId="5" xfId="0" applyFont="1" applyFill="1" applyBorder="1"/>
    <xf numFmtId="4" fontId="5" fillId="0" borderId="5" xfId="0" applyNumberFormat="1" applyFont="1" applyFill="1" applyBorder="1"/>
    <xf numFmtId="0" fontId="5" fillId="0" borderId="5" xfId="0" applyFont="1" applyFill="1" applyBorder="1" applyAlignment="1">
      <alignment vertical="top" wrapText="1"/>
    </xf>
    <xf numFmtId="14" fontId="4" fillId="0" borderId="5" xfId="0" applyNumberFormat="1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vertical="top" wrapText="1"/>
    </xf>
    <xf numFmtId="14" fontId="4" fillId="0" borderId="2" xfId="0" applyNumberFormat="1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14" fontId="11" fillId="0" borderId="2" xfId="0" applyNumberFormat="1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14" fontId="11" fillId="0" borderId="3" xfId="0" applyNumberFormat="1" applyFont="1" applyBorder="1" applyAlignment="1">
      <alignment vertical="top" wrapText="1"/>
    </xf>
    <xf numFmtId="0" fontId="0" fillId="0" borderId="3" xfId="0" applyFont="1" applyBorder="1"/>
    <xf numFmtId="0" fontId="21" fillId="0" borderId="3" xfId="0" applyFont="1" applyBorder="1"/>
    <xf numFmtId="4" fontId="21" fillId="0" borderId="3" xfId="0" applyNumberFormat="1" applyFont="1" applyBorder="1"/>
    <xf numFmtId="0" fontId="4" fillId="5" borderId="15" xfId="0" applyFont="1" applyFill="1" applyBorder="1" applyAlignment="1">
      <alignment vertical="center" wrapText="1"/>
    </xf>
    <xf numFmtId="49" fontId="4" fillId="0" borderId="7" xfId="0" applyNumberFormat="1" applyFont="1" applyFill="1" applyBorder="1" applyAlignment="1">
      <alignment horizontal="left" vertical="top" wrapText="1"/>
    </xf>
    <xf numFmtId="4" fontId="5" fillId="0" borderId="7" xfId="0" applyNumberFormat="1" applyFont="1" applyBorder="1" applyAlignment="1">
      <alignment horizontal="center" vertical="top"/>
    </xf>
    <xf numFmtId="0" fontId="4" fillId="5" borderId="3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vertical="top" wrapText="1"/>
    </xf>
    <xf numFmtId="0" fontId="20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top"/>
    </xf>
    <xf numFmtId="4" fontId="5" fillId="0" borderId="7" xfId="0" applyNumberFormat="1" applyFont="1" applyFill="1" applyBorder="1" applyAlignment="1">
      <alignment horizontal="center" vertical="top"/>
    </xf>
    <xf numFmtId="0" fontId="5" fillId="0" borderId="2" xfId="0" applyFont="1" applyFill="1" applyBorder="1"/>
    <xf numFmtId="4" fontId="5" fillId="0" borderId="2" xfId="0" applyNumberFormat="1" applyFont="1" applyFill="1" applyBorder="1"/>
    <xf numFmtId="0" fontId="4" fillId="0" borderId="5" xfId="0" applyFont="1" applyBorder="1" applyAlignment="1">
      <alignment horizontal="center" vertical="top" wrapText="1"/>
    </xf>
    <xf numFmtId="0" fontId="5" fillId="3" borderId="7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/>
    </xf>
    <xf numFmtId="14" fontId="4" fillId="0" borderId="6" xfId="0" applyNumberFormat="1" applyFont="1" applyFill="1" applyBorder="1" applyAlignment="1">
      <alignment horizontal="center" vertical="top" wrapText="1"/>
    </xf>
    <xf numFmtId="0" fontId="24" fillId="0" borderId="6" xfId="0" applyFont="1" applyBorder="1" applyAlignment="1">
      <alignment vertical="top" wrapText="1"/>
    </xf>
    <xf numFmtId="0" fontId="24" fillId="0" borderId="5" xfId="0" applyFont="1" applyBorder="1" applyAlignment="1">
      <alignment vertical="top" wrapText="1"/>
    </xf>
    <xf numFmtId="14" fontId="4" fillId="0" borderId="4" xfId="0" applyNumberFormat="1" applyFont="1" applyFill="1" applyBorder="1" applyAlignment="1">
      <alignment horizontal="center" vertical="top" wrapText="1"/>
    </xf>
    <xf numFmtId="0" fontId="24" fillId="0" borderId="4" xfId="0" applyFont="1" applyBorder="1" applyAlignment="1">
      <alignment vertical="top" wrapText="1"/>
    </xf>
    <xf numFmtId="0" fontId="4" fillId="0" borderId="7" xfId="0" applyFont="1" applyBorder="1"/>
    <xf numFmtId="4" fontId="4" fillId="0" borderId="7" xfId="0" applyNumberFormat="1" applyFont="1" applyBorder="1"/>
    <xf numFmtId="4" fontId="9" fillId="0" borderId="4" xfId="0" applyNumberFormat="1" applyFont="1" applyFill="1" applyBorder="1" applyAlignment="1">
      <alignment horizontal="center" vertical="top" wrapText="1"/>
    </xf>
    <xf numFmtId="0" fontId="9" fillId="5" borderId="4" xfId="0" applyFont="1" applyFill="1" applyBorder="1" applyAlignment="1">
      <alignment vertical="top" wrapText="1"/>
    </xf>
    <xf numFmtId="0" fontId="8" fillId="0" borderId="7" xfId="0" applyFont="1" applyFill="1" applyBorder="1" applyAlignment="1">
      <alignment vertical="top" wrapText="1"/>
    </xf>
    <xf numFmtId="0" fontId="4" fillId="5" borderId="2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23" fillId="0" borderId="4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center" vertical="top"/>
    </xf>
    <xf numFmtId="0" fontId="5" fillId="2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44" fontId="10" fillId="0" borderId="10" xfId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14" fontId="11" fillId="0" borderId="7" xfId="0" applyNumberFormat="1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4" fillId="5" borderId="6" xfId="0" applyFont="1" applyFill="1" applyBorder="1" applyAlignment="1">
      <alignment horizontal="center" vertical="top" wrapText="1"/>
    </xf>
    <xf numFmtId="0" fontId="23" fillId="5" borderId="6" xfId="0" applyFont="1" applyFill="1" applyBorder="1" applyAlignment="1">
      <alignment horizontal="center" vertical="top"/>
    </xf>
    <xf numFmtId="0" fontId="23" fillId="5" borderId="2" xfId="0" applyFont="1" applyFill="1" applyBorder="1" applyAlignment="1">
      <alignment horizontal="center" vertical="top"/>
    </xf>
    <xf numFmtId="49" fontId="4" fillId="0" borderId="7" xfId="0" applyNumberFormat="1" applyFont="1" applyFill="1" applyBorder="1" applyAlignment="1">
      <alignment horizontal="center" vertical="top" wrapText="1"/>
    </xf>
    <xf numFmtId="4" fontId="11" fillId="0" borderId="7" xfId="0" applyNumberFormat="1" applyFont="1" applyFill="1" applyBorder="1" applyAlignment="1">
      <alignment horizontal="center" vertical="top" wrapText="1"/>
    </xf>
    <xf numFmtId="4" fontId="11" fillId="0" borderId="7" xfId="0" applyNumberFormat="1" applyFont="1" applyFill="1" applyBorder="1" applyAlignment="1">
      <alignment horizontal="center" vertical="top"/>
    </xf>
    <xf numFmtId="0" fontId="0" fillId="0" borderId="2" xfId="0" applyBorder="1"/>
    <xf numFmtId="4" fontId="13" fillId="0" borderId="2" xfId="0" applyNumberFormat="1" applyFont="1" applyBorder="1" applyAlignment="1">
      <alignment horizontal="left" vertical="top"/>
    </xf>
    <xf numFmtId="0" fontId="13" fillId="0" borderId="2" xfId="0" applyFont="1" applyBorder="1" applyAlignment="1">
      <alignment vertical="top"/>
    </xf>
    <xf numFmtId="0" fontId="13" fillId="0" borderId="2" xfId="0" applyFont="1" applyBorder="1" applyAlignment="1">
      <alignment horizontal="left" vertical="top"/>
    </xf>
    <xf numFmtId="4" fontId="29" fillId="0" borderId="2" xfId="0" applyNumberFormat="1" applyFont="1" applyBorder="1" applyAlignment="1">
      <alignment vertical="top"/>
    </xf>
    <xf numFmtId="0" fontId="21" fillId="0" borderId="2" xfId="0" applyFont="1" applyBorder="1" applyAlignment="1">
      <alignment vertical="top"/>
    </xf>
    <xf numFmtId="0" fontId="13" fillId="0" borderId="3" xfId="0" applyFont="1" applyBorder="1" applyAlignment="1">
      <alignment horizontal="left" vertical="top"/>
    </xf>
    <xf numFmtId="0" fontId="0" fillId="0" borderId="3" xfId="0" applyBorder="1"/>
    <xf numFmtId="0" fontId="26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left" vertical="top"/>
    </xf>
    <xf numFmtId="0" fontId="0" fillId="0" borderId="5" xfId="0" applyBorder="1"/>
    <xf numFmtId="4" fontId="1" fillId="0" borderId="5" xfId="0" applyNumberFormat="1" applyFont="1" applyBorder="1" applyAlignment="1">
      <alignment horizontal="left" vertical="top"/>
    </xf>
    <xf numFmtId="0" fontId="21" fillId="0" borderId="3" xfId="0" applyFont="1" applyBorder="1" applyAlignment="1">
      <alignment vertical="top"/>
    </xf>
    <xf numFmtId="0" fontId="21" fillId="0" borderId="5" xfId="0" applyFont="1" applyBorder="1" applyAlignment="1">
      <alignment vertical="top"/>
    </xf>
    <xf numFmtId="4" fontId="27" fillId="0" borderId="3" xfId="0" applyNumberFormat="1" applyFont="1" applyBorder="1" applyAlignment="1">
      <alignment horizontal="center" vertical="top"/>
    </xf>
    <xf numFmtId="0" fontId="13" fillId="0" borderId="3" xfId="0" applyFont="1" applyBorder="1" applyAlignment="1">
      <alignment vertical="top"/>
    </xf>
    <xf numFmtId="4" fontId="29" fillId="0" borderId="3" xfId="0" applyNumberFormat="1" applyFont="1" applyBorder="1" applyAlignment="1">
      <alignment vertical="top"/>
    </xf>
    <xf numFmtId="0" fontId="13" fillId="0" borderId="5" xfId="0" applyFont="1" applyBorder="1" applyAlignment="1">
      <alignment vertical="top"/>
    </xf>
    <xf numFmtId="16" fontId="13" fillId="0" borderId="5" xfId="0" applyNumberFormat="1" applyFont="1" applyBorder="1" applyAlignment="1">
      <alignment horizontal="center" vertical="top"/>
    </xf>
    <xf numFmtId="4" fontId="13" fillId="0" borderId="3" xfId="0" applyNumberFormat="1" applyFont="1" applyBorder="1" applyAlignment="1">
      <alignment horizontal="left" vertical="top"/>
    </xf>
    <xf numFmtId="4" fontId="13" fillId="0" borderId="5" xfId="0" applyNumberFormat="1" applyFont="1" applyBorder="1" applyAlignment="1">
      <alignment horizontal="left" vertical="top"/>
    </xf>
    <xf numFmtId="0" fontId="13" fillId="0" borderId="1" xfId="0" applyFont="1" applyBorder="1" applyAlignment="1">
      <alignment vertical="top"/>
    </xf>
    <xf numFmtId="0" fontId="4" fillId="0" borderId="5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center"/>
    </xf>
    <xf numFmtId="0" fontId="0" fillId="0" borderId="22" xfId="0" applyBorder="1"/>
    <xf numFmtId="0" fontId="0" fillId="0" borderId="10" xfId="0" applyBorder="1"/>
    <xf numFmtId="0" fontId="0" fillId="0" borderId="20" xfId="0" applyBorder="1"/>
    <xf numFmtId="0" fontId="6" fillId="0" borderId="0" xfId="0" applyFont="1" applyAlignment="1">
      <alignment horizontal="left" vertical="top" wrapText="1"/>
    </xf>
    <xf numFmtId="44" fontId="10" fillId="0" borderId="0" xfId="1" applyFont="1" applyAlignment="1">
      <alignment horizontal="center"/>
    </xf>
    <xf numFmtId="44" fontId="10" fillId="0" borderId="10" xfId="1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vertical="center" wrapText="1"/>
    </xf>
    <xf numFmtId="44" fontId="4" fillId="0" borderId="4" xfId="1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5" fillId="3" borderId="17" xfId="0" applyFont="1" applyFill="1" applyBorder="1" applyAlignment="1">
      <alignment vertical="top" wrapText="1"/>
    </xf>
    <xf numFmtId="0" fontId="5" fillId="3" borderId="12" xfId="0" applyFont="1" applyFill="1" applyBorder="1" applyAlignment="1">
      <alignment vertical="top" wrapText="1"/>
    </xf>
    <xf numFmtId="0" fontId="5" fillId="2" borderId="17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center" wrapText="1"/>
    </xf>
    <xf numFmtId="0" fontId="5" fillId="5" borderId="17" xfId="0" applyFont="1" applyFill="1" applyBorder="1" applyAlignment="1">
      <alignment vertical="top" wrapText="1"/>
    </xf>
    <xf numFmtId="0" fontId="5" fillId="5" borderId="12" xfId="0" applyFont="1" applyFill="1" applyBorder="1" applyAlignment="1">
      <alignment vertical="top" wrapText="1"/>
    </xf>
    <xf numFmtId="0" fontId="5" fillId="3" borderId="17" xfId="0" applyFont="1" applyFill="1" applyBorder="1" applyAlignment="1">
      <alignment vertical="center" wrapText="1"/>
    </xf>
    <xf numFmtId="0" fontId="5" fillId="3" borderId="12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vertical="top" wrapText="1"/>
    </xf>
    <xf numFmtId="0" fontId="5" fillId="2" borderId="18" xfId="0" applyFont="1" applyFill="1" applyBorder="1" applyAlignment="1">
      <alignment vertical="top" wrapText="1"/>
    </xf>
    <xf numFmtId="0" fontId="6" fillId="0" borderId="9" xfId="0" applyFont="1" applyBorder="1" applyAlignment="1">
      <alignment horizontal="right" vertical="top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horizontal="right"/>
    </xf>
    <xf numFmtId="0" fontId="10" fillId="5" borderId="0" xfId="0" applyFont="1" applyFill="1" applyBorder="1" applyAlignment="1">
      <alignment vertical="top" wrapText="1"/>
    </xf>
    <xf numFmtId="4" fontId="10" fillId="5" borderId="0" xfId="0" applyNumberFormat="1" applyFont="1" applyFill="1" applyBorder="1" applyAlignment="1">
      <alignment horizontal="right"/>
    </xf>
    <xf numFmtId="0" fontId="6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horizontal="center" vertical="top"/>
    </xf>
    <xf numFmtId="4" fontId="10" fillId="0" borderId="0" xfId="0" applyNumberFormat="1" applyFont="1" applyBorder="1" applyAlignment="1">
      <alignment horizontal="center" vertical="top"/>
    </xf>
    <xf numFmtId="4" fontId="10" fillId="5" borderId="0" xfId="0" applyNumberFormat="1" applyFont="1" applyFill="1" applyBorder="1" applyAlignment="1">
      <alignment horizontal="right" vertical="top"/>
    </xf>
    <xf numFmtId="0" fontId="3" fillId="0" borderId="4" xfId="0" applyFont="1" applyBorder="1" applyAlignment="1">
      <alignment horizontal="center"/>
    </xf>
  </cellXfs>
  <cellStyles count="5">
    <cellStyle name="Excel Built-in Normal" xfId="4"/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80"/>
  <sheetViews>
    <sheetView tabSelected="1" view="pageBreakPreview" topLeftCell="A208" zoomScaleNormal="100" zoomScaleSheetLayoutView="100" workbookViewId="0">
      <selection activeCell="I218" sqref="I218"/>
    </sheetView>
  </sheetViews>
  <sheetFormatPr defaultRowHeight="12.75" x14ac:dyDescent="0.2"/>
  <cols>
    <col min="1" max="1" width="25" customWidth="1"/>
    <col min="2" max="2" width="14.140625" customWidth="1"/>
    <col min="3" max="3" width="12.42578125" customWidth="1"/>
    <col min="4" max="4" width="12.28515625" customWidth="1"/>
    <col min="5" max="5" width="15" customWidth="1"/>
    <col min="6" max="6" width="14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.140625" style="21" customWidth="1"/>
    <col min="12" max="12" width="16.5703125" customWidth="1"/>
    <col min="13" max="13" width="17.28515625" customWidth="1"/>
    <col min="14" max="14" width="16.7109375" customWidth="1"/>
    <col min="15" max="16" width="15.42578125" bestFit="1" customWidth="1"/>
    <col min="17" max="17" width="16.28515625" customWidth="1"/>
  </cols>
  <sheetData>
    <row r="1" spans="1:14" ht="54" customHeight="1" x14ac:dyDescent="0.2">
      <c r="G1" s="489" t="s">
        <v>144</v>
      </c>
      <c r="H1" s="489"/>
      <c r="I1" s="489"/>
      <c r="J1" s="489"/>
      <c r="K1" s="489"/>
    </row>
    <row r="2" spans="1:14" ht="51" customHeight="1" x14ac:dyDescent="0.2">
      <c r="G2" s="489" t="s">
        <v>352</v>
      </c>
      <c r="H2" s="489"/>
      <c r="I2" s="489"/>
      <c r="J2" s="489"/>
      <c r="K2" s="489"/>
    </row>
    <row r="3" spans="1:14" ht="15.75" x14ac:dyDescent="0.25">
      <c r="A3" s="490" t="s">
        <v>90</v>
      </c>
      <c r="B3" s="490"/>
      <c r="C3" s="490"/>
      <c r="D3" s="490"/>
      <c r="E3" s="490"/>
      <c r="F3" s="490"/>
      <c r="G3" s="490"/>
      <c r="H3" s="490"/>
      <c r="I3" s="490"/>
      <c r="J3" s="490"/>
      <c r="K3" s="490"/>
      <c r="L3" s="1"/>
    </row>
    <row r="4" spans="1:14" ht="37.5" customHeight="1" thickBot="1" x14ac:dyDescent="0.25">
      <c r="A4" s="451"/>
      <c r="B4" s="491" t="s">
        <v>147</v>
      </c>
      <c r="C4" s="491"/>
      <c r="D4" s="491"/>
      <c r="E4" s="491"/>
      <c r="F4" s="491"/>
      <c r="G4" s="491"/>
      <c r="H4" s="491"/>
      <c r="I4" s="491"/>
      <c r="J4" s="451"/>
      <c r="K4" s="451"/>
      <c r="L4" s="1"/>
    </row>
    <row r="5" spans="1:14" ht="24.75" customHeight="1" thickBot="1" x14ac:dyDescent="0.25">
      <c r="A5" s="492" t="s">
        <v>114</v>
      </c>
      <c r="B5" s="494" t="s">
        <v>115</v>
      </c>
      <c r="C5" s="494" t="s">
        <v>85</v>
      </c>
      <c r="D5" s="494" t="s">
        <v>92</v>
      </c>
      <c r="E5" s="494" t="s">
        <v>91</v>
      </c>
      <c r="F5" s="494" t="s">
        <v>145</v>
      </c>
      <c r="G5" s="496" t="s">
        <v>146</v>
      </c>
      <c r="H5" s="496" t="s">
        <v>111</v>
      </c>
      <c r="I5" s="494" t="s">
        <v>89</v>
      </c>
      <c r="J5" s="494"/>
      <c r="K5" s="494"/>
      <c r="L5" s="2"/>
      <c r="M5" s="2"/>
      <c r="N5" s="2"/>
    </row>
    <row r="6" spans="1:14" ht="170.25" customHeight="1" thickBot="1" x14ac:dyDescent="0.25">
      <c r="A6" s="493"/>
      <c r="B6" s="494"/>
      <c r="C6" s="494"/>
      <c r="D6" s="494"/>
      <c r="E6" s="494"/>
      <c r="F6" s="494"/>
      <c r="G6" s="496"/>
      <c r="H6" s="496"/>
      <c r="I6" s="452" t="s">
        <v>109</v>
      </c>
      <c r="J6" s="452" t="s">
        <v>83</v>
      </c>
      <c r="K6" s="452" t="s">
        <v>138</v>
      </c>
      <c r="L6" s="64">
        <f>H238+H544+H641+H669+H680</f>
        <v>9845369277.0300007</v>
      </c>
      <c r="M6" s="115">
        <f>L6-L7</f>
        <v>0</v>
      </c>
      <c r="N6" s="65"/>
    </row>
    <row r="7" spans="1:14" ht="27" customHeight="1" thickBot="1" x14ac:dyDescent="0.25">
      <c r="A7" s="72" t="s">
        <v>98</v>
      </c>
      <c r="B7" s="73"/>
      <c r="C7" s="73"/>
      <c r="D7" s="73"/>
      <c r="E7" s="74"/>
      <c r="F7" s="74"/>
      <c r="G7" s="74"/>
      <c r="H7" s="67">
        <f>H8+H9+H10+H11</f>
        <v>9845369277.0299988</v>
      </c>
      <c r="I7" s="67">
        <f>SUM(I8:I11)</f>
        <v>5659339998.9700003</v>
      </c>
      <c r="J7" s="67">
        <f>SUM(J8:J10)</f>
        <v>3028592478.8299999</v>
      </c>
      <c r="K7" s="67">
        <f>SUM(K8:K11)</f>
        <v>1157436799.23</v>
      </c>
      <c r="L7" s="66">
        <f>I7+J7+K7</f>
        <v>9845369277.0299988</v>
      </c>
      <c r="M7" s="2"/>
      <c r="N7" s="2"/>
    </row>
    <row r="8" spans="1:14" ht="18" customHeight="1" x14ac:dyDescent="0.2">
      <c r="A8" s="161" t="s">
        <v>96</v>
      </c>
      <c r="B8" s="162"/>
      <c r="C8" s="162"/>
      <c r="D8" s="162"/>
      <c r="E8" s="163"/>
      <c r="F8" s="163"/>
      <c r="G8" s="163"/>
      <c r="H8" s="33">
        <f>I8+J8+K8</f>
        <v>546488909.24000001</v>
      </c>
      <c r="I8" s="33">
        <f>I87+I93+I477+I478+I480+I507+I509+I511+I515+I516+I519+I529+I530+I542+I637+I658+I112+I111+I100+I101+I107+I103+I181+I189+I191+I193+I183+I179+I185+I187+I201+I494+I537+I539+I482+I484+I486+I496+I497+I502+I528+I540+I522+I524+I526+I625+I104+I195+I196+I198+I199+I202+I204+I488+I491+I206+I209+I534+I679+I499+I504+I235+I96+I638+I88+I232+I89+I97+I513+I533+I90+I109+I115+I664+I236+I237+I495+I538</f>
        <v>199818483.45999995</v>
      </c>
      <c r="J8" s="33">
        <f>J87+J93+J477+J478+J480+J507+J509+J511+J515+J516+J519+J529+J530+J542+J637+J658+J112+J111+J100+J101+J107+J103+J181+J189+J191+J193+J183+J179+J185+J187+J201+J494+J537+J539+J482+J484+J486+J496+J497+J502+J528+J540+J522+J524+J526+J625+J104+J195+J196+J198+J199+J202+J204+J488+J491+J206+J209+J534+J679+J499+J504+J235+J96+J638+J88+J232+J89+J97+J513+J533+J90+J109+J115+J664+J236+J237+J495+J538</f>
        <v>323068234.68000001</v>
      </c>
      <c r="K8" s="33">
        <f>K87+K93+K477+K478+K480+K507+K509+K511+K515+K516+K519+K529+K530+K542+K637+K658+K112+K111+K100+K101+K107+K103+K181+K189+K191+K193+K183+K179+K185+K187+K201+K494+K537+K539+K482+K484+K486+K496+K497+K502+K528+K540+K522+K524+K526+K625+K104+K195+K196+K198+K199+K202+K204+K488+K491+K206+K209+K534+K679+K499+K504+K235+K96+K638+K88+K232+K89+K97+K513+K533+K90+K109+K115+K664+K236+K237+K495+K538</f>
        <v>23602191.100000001</v>
      </c>
      <c r="L8" s="104"/>
      <c r="M8" s="2" t="s">
        <v>84</v>
      </c>
      <c r="N8" s="2"/>
    </row>
    <row r="9" spans="1:14" ht="18.75" customHeight="1" x14ac:dyDescent="0.2">
      <c r="A9" s="282" t="s">
        <v>97</v>
      </c>
      <c r="B9" s="165"/>
      <c r="C9" s="165"/>
      <c r="D9" s="165"/>
      <c r="E9" s="166"/>
      <c r="F9" s="166"/>
      <c r="G9" s="166"/>
      <c r="H9" s="8">
        <f>I9+J9+K9</f>
        <v>6481967996.9400005</v>
      </c>
      <c r="I9" s="8">
        <f>I94+I99+I479+I481+I508+I510+I512+I517+I520+I531+I532+I543+I639+I640+I659+I622+I623+I113+I105+I102+I108+I180+I182+I184+I186+I188+I190+I192+I194+I205+I197+I200+I203+I541+I483+I485+I487+I489+I492+I207+I210+I498+I503+I523+I525+I527+I535+I500+I505+I233+I91+I98+I514+I92+I110+I668</f>
        <v>4244516665.71</v>
      </c>
      <c r="J9" s="8">
        <f>J94+J99+J479+J481+J508+J510+J512+J517+J520+J531+J532+J543+J639+J640+J659+J622+J623+J113+J105+J102+J108+J180+J182+J184+J186+J188+J190+J192+J194+J205+J197+J200+J203+J541+J483+J485+J487+J489+J492+J207+J210+J498+J503+J523+J525+J527+J535+J500+J505+J233+J91+J98+J514+J92+J110</f>
        <v>1190044512.23</v>
      </c>
      <c r="K9" s="8">
        <f>K94+K99+K479+K481+K508+K510+K512+K517+K520+K531+K532+K543+K639+K640+K659+K622+K623+K113+K105+K102+K108+K180+K182+K184+K186+K188+K190+K192+K194+K205+K197+K200+K203+K541+K483+K485+K487+K489+K492+K207+K210+K498+K503+K523+K525+K527+K535+K500+K505+K233+K91+K98+K514+K92+K110</f>
        <v>1047406819</v>
      </c>
    </row>
    <row r="10" spans="1:14" ht="19.5" customHeight="1" x14ac:dyDescent="0.2">
      <c r="A10" s="164" t="s">
        <v>117</v>
      </c>
      <c r="B10" s="165"/>
      <c r="C10" s="165"/>
      <c r="D10" s="165"/>
      <c r="E10" s="166"/>
      <c r="F10" s="166"/>
      <c r="G10" s="166"/>
      <c r="H10" s="8">
        <f>I10+J10+K10</f>
        <v>2718905673.96</v>
      </c>
      <c r="I10" s="8">
        <f>I95+I518+I521+I624+I114+I106+I490+I493+I208+I211+I501+I506+I464</f>
        <v>1116998152.9100001</v>
      </c>
      <c r="J10" s="8">
        <f>J95+J518+J521+J624+J114+J106+J490+J493+J208+J211+J501+J506+J464</f>
        <v>1515479731.9200001</v>
      </c>
      <c r="K10" s="8">
        <f>K95+K518+K521+K624+K114+K106+K490+K493+K208+K211+K501+K506+K464</f>
        <v>86427789.129999995</v>
      </c>
      <c r="L10" t="s">
        <v>84</v>
      </c>
      <c r="M10" s="102"/>
    </row>
    <row r="11" spans="1:14" ht="27.75" customHeight="1" thickBot="1" x14ac:dyDescent="0.25">
      <c r="A11" s="420" t="s">
        <v>541</v>
      </c>
      <c r="B11" s="168"/>
      <c r="C11" s="168"/>
      <c r="D11" s="168"/>
      <c r="E11" s="169"/>
      <c r="F11" s="169"/>
      <c r="G11" s="169"/>
      <c r="H11" s="13">
        <f>I11+J11+K11</f>
        <v>98006696.890000001</v>
      </c>
      <c r="I11" s="13">
        <f>I234</f>
        <v>98006696.890000001</v>
      </c>
      <c r="J11" s="13">
        <f t="shared" ref="J11:K11" si="0">J234</f>
        <v>0</v>
      </c>
      <c r="K11" s="13">
        <f t="shared" si="0"/>
        <v>0</v>
      </c>
    </row>
    <row r="12" spans="1:14" ht="27.75" customHeight="1" thickBot="1" x14ac:dyDescent="0.25">
      <c r="A12" s="30" t="s">
        <v>148</v>
      </c>
      <c r="B12" s="4"/>
      <c r="C12" s="4"/>
      <c r="D12" s="4"/>
      <c r="E12" s="7"/>
      <c r="F12" s="7"/>
      <c r="G12" s="7"/>
      <c r="H12" s="141">
        <f>I12+J12+K12</f>
        <v>735845985.0200001</v>
      </c>
      <c r="I12" s="141">
        <f>SUM(I13:I16)</f>
        <v>735845985.0200001</v>
      </c>
      <c r="J12" s="116"/>
      <c r="K12" s="116"/>
      <c r="L12" s="42"/>
      <c r="M12" t="s">
        <v>84</v>
      </c>
    </row>
    <row r="13" spans="1:14" ht="19.5" customHeight="1" x14ac:dyDescent="0.2">
      <c r="A13" s="161" t="s">
        <v>96</v>
      </c>
      <c r="B13" s="162"/>
      <c r="C13" s="162"/>
      <c r="D13" s="162"/>
      <c r="E13" s="163"/>
      <c r="F13" s="163"/>
      <c r="G13" s="163"/>
      <c r="H13" s="170">
        <f>I13</f>
        <v>22703401.059999999</v>
      </c>
      <c r="I13" s="170">
        <f>I24+I35+I43+I47+I54+I75+I122+I127+I132+I137+I158+I163+I168+I317+I386+I395+I404+I429+I216+I457</f>
        <v>22703401.059999999</v>
      </c>
      <c r="J13" s="171"/>
      <c r="K13" s="171"/>
    </row>
    <row r="14" spans="1:14" ht="19.5" customHeight="1" x14ac:dyDescent="0.2">
      <c r="A14" s="164" t="s">
        <v>97</v>
      </c>
      <c r="B14" s="165"/>
      <c r="C14" s="165"/>
      <c r="D14" s="165"/>
      <c r="E14" s="166"/>
      <c r="F14" s="166"/>
      <c r="G14" s="166"/>
      <c r="H14" s="109">
        <f>I14</f>
        <v>405661866.96000004</v>
      </c>
      <c r="I14" s="109">
        <f>I36+I44+I76+I123+I128+I138+I318+I387+I396+I405+I430</f>
        <v>405661866.96000004</v>
      </c>
      <c r="J14" s="172"/>
      <c r="K14" s="172"/>
    </row>
    <row r="15" spans="1:14" ht="18.75" customHeight="1" x14ac:dyDescent="0.2">
      <c r="A15" s="164" t="s">
        <v>117</v>
      </c>
      <c r="B15" s="165"/>
      <c r="C15" s="165"/>
      <c r="D15" s="165"/>
      <c r="E15" s="166"/>
      <c r="F15" s="166"/>
      <c r="G15" s="166"/>
      <c r="H15" s="109">
        <f>I15</f>
        <v>307325826.91999996</v>
      </c>
      <c r="I15" s="109">
        <f>I25+I37+I388+I397+I406</f>
        <v>307325826.91999996</v>
      </c>
      <c r="J15" s="172"/>
      <c r="K15" s="172"/>
    </row>
    <row r="16" spans="1:14" ht="27" customHeight="1" thickBot="1" x14ac:dyDescent="0.25">
      <c r="A16" s="167" t="s">
        <v>133</v>
      </c>
      <c r="B16" s="168"/>
      <c r="C16" s="168"/>
      <c r="D16" s="168"/>
      <c r="E16" s="169"/>
      <c r="F16" s="169"/>
      <c r="G16" s="169"/>
      <c r="H16" s="92">
        <f>I16</f>
        <v>154890.07999999999</v>
      </c>
      <c r="I16" s="92">
        <f>I77</f>
        <v>154890.07999999999</v>
      </c>
      <c r="J16" s="173"/>
      <c r="K16" s="173"/>
    </row>
    <row r="17" spans="1:14" ht="18.75" customHeight="1" thickBot="1" x14ac:dyDescent="0.25">
      <c r="A17" s="497" t="s">
        <v>93</v>
      </c>
      <c r="B17" s="497"/>
      <c r="C17" s="497"/>
      <c r="D17" s="497"/>
      <c r="E17" s="497"/>
      <c r="F17" s="497"/>
      <c r="G17" s="497"/>
      <c r="H17" s="497"/>
      <c r="I17" s="497"/>
      <c r="J17" s="497"/>
      <c r="K17" s="497"/>
    </row>
    <row r="18" spans="1:14" ht="18" customHeight="1" thickBot="1" x14ac:dyDescent="0.25">
      <c r="A18" s="498" t="s">
        <v>94</v>
      </c>
      <c r="B18" s="498"/>
      <c r="C18" s="498"/>
      <c r="D18" s="498"/>
      <c r="E18" s="498"/>
      <c r="F18" s="498"/>
      <c r="G18" s="498"/>
      <c r="H18" s="498"/>
      <c r="I18" s="498"/>
      <c r="J18" s="498"/>
      <c r="K18" s="498"/>
    </row>
    <row r="19" spans="1:14" ht="57" customHeight="1" thickBot="1" x14ac:dyDescent="0.25">
      <c r="A19" s="10" t="s">
        <v>88</v>
      </c>
      <c r="B19" s="45"/>
      <c r="C19" s="46"/>
      <c r="D19" s="46"/>
      <c r="E19" s="47"/>
      <c r="F19" s="47"/>
      <c r="G19" s="47"/>
      <c r="H19" s="67">
        <f>K19+J19+I19</f>
        <v>1922680343.6400001</v>
      </c>
      <c r="I19" s="67">
        <f>I20+I26+I38+I45+I48+I55+I58+I62+I64</f>
        <v>1683379448.1300001</v>
      </c>
      <c r="J19" s="67">
        <f t="shared" ref="J19:K19" si="1">J20+J26+J38+J45+J48+J55+J58+J62+J64</f>
        <v>136154974</v>
      </c>
      <c r="K19" s="67">
        <f t="shared" si="1"/>
        <v>103145921.51000001</v>
      </c>
      <c r="L19" s="80">
        <f>H20+H26+H38+H45+H48+H55+H58+H62+H64</f>
        <v>1922680343.6399999</v>
      </c>
      <c r="M19" s="102"/>
      <c r="N19" s="102">
        <f>L19-H19</f>
        <v>0</v>
      </c>
    </row>
    <row r="20" spans="1:14" ht="54" customHeight="1" x14ac:dyDescent="0.2">
      <c r="A20" s="236" t="s">
        <v>105</v>
      </c>
      <c r="B20" s="242" t="s">
        <v>100</v>
      </c>
      <c r="C20" s="89" t="s">
        <v>106</v>
      </c>
      <c r="D20" s="297" t="s">
        <v>109</v>
      </c>
      <c r="E20" s="245">
        <v>1061772193.27</v>
      </c>
      <c r="F20" s="245">
        <v>1035220536.02</v>
      </c>
      <c r="G20" s="249">
        <f>E20-F20</f>
        <v>26551657.25</v>
      </c>
      <c r="H20" s="33">
        <f>I20+J20+K20</f>
        <v>27851778.32</v>
      </c>
      <c r="I20" s="33">
        <f>SUM(I21:I23)</f>
        <v>27851778.32</v>
      </c>
      <c r="J20" s="33">
        <f t="shared" ref="J20:K20" si="2">SUM(J21:J23)</f>
        <v>0</v>
      </c>
      <c r="K20" s="33">
        <f t="shared" si="2"/>
        <v>0</v>
      </c>
      <c r="M20" s="52"/>
      <c r="N20" s="52"/>
    </row>
    <row r="21" spans="1:14" ht="25.5" x14ac:dyDescent="0.2">
      <c r="A21" s="9" t="s">
        <v>72</v>
      </c>
      <c r="B21" s="5" t="s">
        <v>249</v>
      </c>
      <c r="C21" s="154"/>
      <c r="D21" s="324"/>
      <c r="E21" s="325"/>
      <c r="F21" s="325"/>
      <c r="G21" s="191"/>
      <c r="H21" s="14">
        <f>I21+J21+K21</f>
        <v>1581728.06</v>
      </c>
      <c r="I21" s="14">
        <f>91951.49+533913.18+955863.39</f>
        <v>1581728.06</v>
      </c>
      <c r="J21" s="14"/>
      <c r="K21" s="14"/>
      <c r="L21" s="52"/>
      <c r="M21" s="52"/>
      <c r="N21" s="52"/>
    </row>
    <row r="22" spans="1:14" ht="25.5" x14ac:dyDescent="0.2">
      <c r="A22" s="186" t="s">
        <v>261</v>
      </c>
      <c r="B22" s="192" t="s">
        <v>262</v>
      </c>
      <c r="C22" s="154"/>
      <c r="D22" s="324"/>
      <c r="E22" s="325"/>
      <c r="F22" s="325"/>
      <c r="G22" s="191"/>
      <c r="H22" s="14">
        <f>I22+J22+K22</f>
        <v>262700.5</v>
      </c>
      <c r="I22" s="14">
        <v>262700.5</v>
      </c>
      <c r="J22" s="14"/>
      <c r="K22" s="14"/>
      <c r="L22" s="52"/>
      <c r="M22" s="52"/>
      <c r="N22" s="52"/>
    </row>
    <row r="23" spans="1:14" ht="25.5" x14ac:dyDescent="0.2">
      <c r="A23" s="312" t="s">
        <v>373</v>
      </c>
      <c r="B23" s="192" t="s">
        <v>374</v>
      </c>
      <c r="C23" s="154"/>
      <c r="D23" s="324"/>
      <c r="E23" s="325"/>
      <c r="F23" s="325"/>
      <c r="G23" s="191"/>
      <c r="H23" s="14">
        <f>I23+J23+K23</f>
        <v>26007349.760000002</v>
      </c>
      <c r="I23" s="14">
        <v>26007349.760000002</v>
      </c>
      <c r="J23" s="14"/>
      <c r="K23" s="14"/>
      <c r="L23" s="52"/>
      <c r="M23" s="52"/>
      <c r="N23" s="52"/>
    </row>
    <row r="24" spans="1:14" ht="38.25" x14ac:dyDescent="0.2">
      <c r="A24" s="186" t="s">
        <v>127</v>
      </c>
      <c r="B24" s="192"/>
      <c r="C24" s="243"/>
      <c r="D24" s="200"/>
      <c r="E24" s="201"/>
      <c r="F24" s="201"/>
      <c r="G24" s="201"/>
      <c r="H24" s="244">
        <f t="shared" ref="H24:H34" si="3">I24+J24+K24</f>
        <v>2248531.69</v>
      </c>
      <c r="I24" s="244">
        <v>2248531.69</v>
      </c>
      <c r="J24" s="109"/>
      <c r="K24" s="109"/>
      <c r="L24" s="54"/>
      <c r="M24" s="52"/>
      <c r="N24" s="52"/>
    </row>
    <row r="25" spans="1:14" ht="39" thickBot="1" x14ac:dyDescent="0.25">
      <c r="A25" s="188" t="s">
        <v>166</v>
      </c>
      <c r="B25" s="314"/>
      <c r="C25" s="414"/>
      <c r="D25" s="415"/>
      <c r="E25" s="416"/>
      <c r="F25" s="416"/>
      <c r="G25" s="416"/>
      <c r="H25" s="92">
        <f t="shared" si="3"/>
        <v>222604637.53</v>
      </c>
      <c r="I25" s="321">
        <v>222604637.53</v>
      </c>
      <c r="J25" s="92"/>
      <c r="K25" s="92"/>
      <c r="L25" s="52"/>
      <c r="M25" s="52"/>
      <c r="N25" s="52"/>
    </row>
    <row r="26" spans="1:14" ht="51" x14ac:dyDescent="0.2">
      <c r="A26" s="134" t="s">
        <v>0</v>
      </c>
      <c r="B26" s="34" t="s">
        <v>100</v>
      </c>
      <c r="C26" s="89" t="s">
        <v>126</v>
      </c>
      <c r="D26" s="35" t="s">
        <v>83</v>
      </c>
      <c r="E26" s="249">
        <v>973133257.24000001</v>
      </c>
      <c r="F26" s="276">
        <v>225132266.03</v>
      </c>
      <c r="G26" s="249">
        <f>E26-F26</f>
        <v>748000991.21000004</v>
      </c>
      <c r="H26" s="33">
        <f t="shared" si="3"/>
        <v>697971350.17999995</v>
      </c>
      <c r="I26" s="33">
        <f>SUM(I27:I34)</f>
        <v>643921639.33999991</v>
      </c>
      <c r="J26" s="33">
        <f>SUM(J27:J34)</f>
        <v>54049710.839999996</v>
      </c>
      <c r="K26" s="33">
        <f>SUM(K27:K34)</f>
        <v>0</v>
      </c>
      <c r="L26" s="52"/>
      <c r="M26" s="51"/>
      <c r="N26" s="79"/>
    </row>
    <row r="27" spans="1:14" ht="25.5" x14ac:dyDescent="0.2">
      <c r="A27" s="9" t="s">
        <v>72</v>
      </c>
      <c r="B27" s="5" t="s">
        <v>249</v>
      </c>
      <c r="C27" s="50"/>
      <c r="D27" s="50"/>
      <c r="E27" s="246"/>
      <c r="F27" s="246"/>
      <c r="G27" s="246"/>
      <c r="H27" s="8">
        <f t="shared" si="3"/>
        <v>1362950</v>
      </c>
      <c r="I27" s="8">
        <f>500000+262950</f>
        <v>762950</v>
      </c>
      <c r="J27" s="8">
        <v>600000</v>
      </c>
      <c r="K27" s="8"/>
      <c r="L27" s="52"/>
      <c r="M27" s="51"/>
      <c r="N27" s="79"/>
    </row>
    <row r="28" spans="1:14" ht="25.5" x14ac:dyDescent="0.2">
      <c r="A28" s="186" t="s">
        <v>74</v>
      </c>
      <c r="B28" s="192" t="s">
        <v>545</v>
      </c>
      <c r="C28" s="50"/>
      <c r="D28" s="50"/>
      <c r="E28" s="246"/>
      <c r="F28" s="246"/>
      <c r="G28" s="246"/>
      <c r="H28" s="8">
        <f t="shared" si="3"/>
        <v>653009.42000000004</v>
      </c>
      <c r="I28" s="8">
        <v>653009.42000000004</v>
      </c>
      <c r="J28" s="8"/>
      <c r="K28" s="8"/>
      <c r="L28" s="52"/>
      <c r="M28" s="51"/>
      <c r="N28" s="79"/>
    </row>
    <row r="29" spans="1:14" ht="25.5" x14ac:dyDescent="0.2">
      <c r="A29" s="186" t="s">
        <v>575</v>
      </c>
      <c r="B29" s="192" t="s">
        <v>545</v>
      </c>
      <c r="C29" s="50"/>
      <c r="D29" s="50"/>
      <c r="E29" s="246"/>
      <c r="F29" s="246"/>
      <c r="G29" s="246"/>
      <c r="H29" s="8">
        <f t="shared" si="3"/>
        <v>2459337.37</v>
      </c>
      <c r="I29" s="8">
        <v>2459337.37</v>
      </c>
      <c r="J29" s="8"/>
      <c r="K29" s="8"/>
      <c r="L29" s="52"/>
      <c r="M29" s="51"/>
      <c r="N29" s="79"/>
    </row>
    <row r="30" spans="1:14" ht="38.25" x14ac:dyDescent="0.2">
      <c r="A30" s="186" t="s">
        <v>74</v>
      </c>
      <c r="B30" s="192" t="s">
        <v>235</v>
      </c>
      <c r="C30" s="50"/>
      <c r="D30" s="50"/>
      <c r="E30" s="246"/>
      <c r="F30" s="246"/>
      <c r="G30" s="246"/>
      <c r="H30" s="8">
        <f t="shared" si="3"/>
        <v>3853737.21</v>
      </c>
      <c r="I30" s="8">
        <v>3319240.1</v>
      </c>
      <c r="J30" s="8">
        <f>2993834.48-2459337.37</f>
        <v>534497.10999999987</v>
      </c>
      <c r="K30" s="8"/>
      <c r="L30" s="52"/>
      <c r="M30" s="51"/>
      <c r="N30" s="79"/>
    </row>
    <row r="31" spans="1:14" ht="25.5" x14ac:dyDescent="0.2">
      <c r="A31" s="186" t="s">
        <v>574</v>
      </c>
      <c r="B31" s="192" t="s">
        <v>552</v>
      </c>
      <c r="C31" s="50"/>
      <c r="D31" s="50"/>
      <c r="E31" s="246"/>
      <c r="F31" s="246"/>
      <c r="G31" s="246"/>
      <c r="H31" s="8">
        <f t="shared" si="3"/>
        <v>243474400</v>
      </c>
      <c r="I31" s="8">
        <v>243474400</v>
      </c>
      <c r="J31" s="8"/>
      <c r="K31" s="8"/>
      <c r="L31" s="52"/>
      <c r="M31" s="51"/>
      <c r="N31" s="79"/>
    </row>
    <row r="32" spans="1:14" ht="25.5" x14ac:dyDescent="0.2">
      <c r="A32" s="186" t="s">
        <v>75</v>
      </c>
      <c r="B32" s="192" t="s">
        <v>552</v>
      </c>
      <c r="C32" s="50"/>
      <c r="D32" s="50"/>
      <c r="E32" s="246"/>
      <c r="F32" s="246"/>
      <c r="G32" s="246"/>
      <c r="H32" s="8">
        <f t="shared" si="3"/>
        <v>64647932.450000003</v>
      </c>
      <c r="I32" s="8">
        <v>64647932.450000003</v>
      </c>
      <c r="J32" s="8"/>
      <c r="K32" s="8"/>
      <c r="L32" s="52"/>
      <c r="M32" s="51"/>
      <c r="N32" s="79"/>
    </row>
    <row r="33" spans="1:14" ht="38.25" x14ac:dyDescent="0.2">
      <c r="A33" s="186" t="s">
        <v>75</v>
      </c>
      <c r="B33" s="192" t="s">
        <v>234</v>
      </c>
      <c r="C33" s="50"/>
      <c r="D33" s="50"/>
      <c r="E33" s="246"/>
      <c r="F33" s="246"/>
      <c r="G33" s="246"/>
      <c r="H33" s="8">
        <f t="shared" si="3"/>
        <v>99715783.729999989</v>
      </c>
      <c r="I33" s="8">
        <v>46800570</v>
      </c>
      <c r="J33" s="8">
        <v>52915213.729999997</v>
      </c>
      <c r="K33" s="8"/>
      <c r="L33" s="52"/>
      <c r="M33" s="51"/>
      <c r="N33" s="79"/>
    </row>
    <row r="34" spans="1:14" ht="38.25" x14ac:dyDescent="0.2">
      <c r="A34" s="312" t="s">
        <v>35</v>
      </c>
      <c r="B34" s="313" t="s">
        <v>233</v>
      </c>
      <c r="C34" s="239"/>
      <c r="D34" s="239"/>
      <c r="E34" s="247"/>
      <c r="F34" s="247"/>
      <c r="G34" s="247"/>
      <c r="H34" s="15">
        <f t="shared" si="3"/>
        <v>281804200</v>
      </c>
      <c r="I34" s="15">
        <v>281804200</v>
      </c>
      <c r="J34" s="15">
        <f>243474400-243474400</f>
        <v>0</v>
      </c>
      <c r="K34" s="25"/>
      <c r="L34" s="52"/>
      <c r="M34" s="51"/>
      <c r="N34" s="79"/>
    </row>
    <row r="35" spans="1:14" ht="38.25" x14ac:dyDescent="0.2">
      <c r="A35" s="9" t="s">
        <v>127</v>
      </c>
      <c r="B35" s="5"/>
      <c r="C35" s="50"/>
      <c r="D35" s="50"/>
      <c r="E35" s="246"/>
      <c r="F35" s="246"/>
      <c r="G35" s="246"/>
      <c r="H35" s="109">
        <f>K35+J35+I35</f>
        <v>1128714.51</v>
      </c>
      <c r="I35" s="109">
        <f>893884.51+234830</f>
        <v>1128714.51</v>
      </c>
      <c r="J35" s="8"/>
      <c r="K35" s="8"/>
      <c r="L35" s="52"/>
      <c r="M35" s="51"/>
      <c r="N35" s="79"/>
    </row>
    <row r="36" spans="1:14" ht="38.25" x14ac:dyDescent="0.2">
      <c r="A36" s="9" t="s">
        <v>164</v>
      </c>
      <c r="B36" s="5"/>
      <c r="C36" s="50"/>
      <c r="D36" s="50"/>
      <c r="E36" s="246"/>
      <c r="F36" s="246"/>
      <c r="G36" s="246"/>
      <c r="H36" s="109">
        <f t="shared" ref="H36:H37" si="4">K36+J36+I36</f>
        <v>7079565.3700000001</v>
      </c>
      <c r="I36" s="109">
        <v>7079565.3700000001</v>
      </c>
      <c r="J36" s="8"/>
      <c r="K36" s="8"/>
      <c r="L36" s="52"/>
      <c r="M36" s="51"/>
      <c r="N36" s="79"/>
    </row>
    <row r="37" spans="1:14" ht="39" thickBot="1" x14ac:dyDescent="0.25">
      <c r="A37" s="16" t="s">
        <v>165</v>
      </c>
      <c r="B37" s="6"/>
      <c r="C37" s="241"/>
      <c r="D37" s="241"/>
      <c r="E37" s="248"/>
      <c r="F37" s="248"/>
      <c r="G37" s="248"/>
      <c r="H37" s="92">
        <f t="shared" si="4"/>
        <v>81415001.829999998</v>
      </c>
      <c r="I37" s="92">
        <v>81415001.829999998</v>
      </c>
      <c r="J37" s="13"/>
      <c r="K37" s="13"/>
      <c r="L37" s="52"/>
      <c r="M37" s="51"/>
      <c r="N37" s="79"/>
    </row>
    <row r="38" spans="1:14" ht="63.75" x14ac:dyDescent="0.2">
      <c r="A38" s="94" t="s">
        <v>625</v>
      </c>
      <c r="B38" s="98" t="s">
        <v>100</v>
      </c>
      <c r="C38" s="89" t="s">
        <v>634</v>
      </c>
      <c r="D38" s="289" t="s">
        <v>109</v>
      </c>
      <c r="E38" s="249">
        <v>1485301467.1099999</v>
      </c>
      <c r="F38" s="276">
        <v>569280700.39999998</v>
      </c>
      <c r="G38" s="249">
        <f>E38-F38</f>
        <v>916020766.70999992</v>
      </c>
      <c r="H38" s="276">
        <f t="shared" ref="H38:H52" si="5">I38+J38+K38</f>
        <v>915834444.45000005</v>
      </c>
      <c r="I38" s="276">
        <f>SUM(I39:I42)</f>
        <v>915834444.45000005</v>
      </c>
      <c r="J38" s="276">
        <f>SUM(J39:J39)</f>
        <v>0</v>
      </c>
      <c r="K38" s="33">
        <f>SUM(K39:K39)</f>
        <v>0</v>
      </c>
      <c r="L38" s="52"/>
      <c r="M38" s="51"/>
      <c r="N38" s="79"/>
    </row>
    <row r="39" spans="1:14" ht="25.5" x14ac:dyDescent="0.2">
      <c r="A39" s="186" t="s">
        <v>511</v>
      </c>
      <c r="B39" s="192" t="s">
        <v>472</v>
      </c>
      <c r="C39" s="50"/>
      <c r="D39" s="441"/>
      <c r="E39" s="246">
        <v>2077555280.02</v>
      </c>
      <c r="F39" s="246"/>
      <c r="G39" s="246"/>
      <c r="H39" s="246">
        <f t="shared" si="5"/>
        <v>0</v>
      </c>
      <c r="I39" s="246">
        <f>8607023.54+551320.91-6550105.22-2608239.23</f>
        <v>0</v>
      </c>
      <c r="J39" s="246"/>
      <c r="K39" s="8"/>
      <c r="L39" s="51"/>
      <c r="M39" s="51"/>
      <c r="N39" s="51"/>
    </row>
    <row r="40" spans="1:14" ht="25.5" x14ac:dyDescent="0.2">
      <c r="A40" s="186" t="s">
        <v>560</v>
      </c>
      <c r="B40" s="192" t="s">
        <v>472</v>
      </c>
      <c r="C40" s="50"/>
      <c r="D40" s="441"/>
      <c r="E40" s="246"/>
      <c r="F40" s="246"/>
      <c r="G40" s="246"/>
      <c r="H40" s="246">
        <f t="shared" si="5"/>
        <v>9158344.4499999993</v>
      </c>
      <c r="I40" s="246">
        <f>6550105.22+2608239.23</f>
        <v>9158344.4499999993</v>
      </c>
      <c r="J40" s="246"/>
      <c r="K40" s="8"/>
      <c r="L40" s="51"/>
      <c r="M40" s="51"/>
      <c r="N40" s="51"/>
    </row>
    <row r="41" spans="1:14" ht="25.5" x14ac:dyDescent="0.2">
      <c r="A41" s="186" t="s">
        <v>559</v>
      </c>
      <c r="B41" s="192" t="s">
        <v>473</v>
      </c>
      <c r="C41" s="50"/>
      <c r="D41" s="441"/>
      <c r="E41" s="246"/>
      <c r="F41" s="246"/>
      <c r="G41" s="246"/>
      <c r="H41" s="246">
        <f t="shared" si="5"/>
        <v>906676100</v>
      </c>
      <c r="I41" s="246">
        <f>648460415.78+258215684.22</f>
        <v>906676100</v>
      </c>
      <c r="J41" s="246"/>
      <c r="K41" s="8"/>
      <c r="L41" s="52"/>
      <c r="M41" s="51"/>
      <c r="N41" s="51"/>
    </row>
    <row r="42" spans="1:14" ht="25.5" x14ac:dyDescent="0.2">
      <c r="A42" s="186" t="s">
        <v>32</v>
      </c>
      <c r="B42" s="192" t="s">
        <v>473</v>
      </c>
      <c r="C42" s="50"/>
      <c r="D42" s="441"/>
      <c r="E42" s="246"/>
      <c r="F42" s="246"/>
      <c r="G42" s="246"/>
      <c r="H42" s="246">
        <f t="shared" si="5"/>
        <v>0</v>
      </c>
      <c r="I42" s="246">
        <f>906676100-852095329.67+820185837.15+31909492.52-648460415.78-258215684.22</f>
        <v>0</v>
      </c>
      <c r="J42" s="246"/>
      <c r="K42" s="8"/>
      <c r="L42" s="52"/>
      <c r="M42" s="52"/>
      <c r="N42" s="52"/>
    </row>
    <row r="43" spans="1:14" ht="38.25" x14ac:dyDescent="0.2">
      <c r="A43" s="9" t="s">
        <v>127</v>
      </c>
      <c r="B43" s="5"/>
      <c r="C43" s="50"/>
      <c r="D43" s="50"/>
      <c r="E43" s="8"/>
      <c r="F43" s="8"/>
      <c r="G43" s="8"/>
      <c r="H43" s="109">
        <f t="shared" si="5"/>
        <v>2609281.13</v>
      </c>
      <c r="I43" s="109">
        <f>2342621.13+266660</f>
        <v>2609281.13</v>
      </c>
      <c r="J43" s="109"/>
      <c r="K43" s="109"/>
      <c r="L43" s="52"/>
      <c r="M43" s="52"/>
      <c r="N43" s="52"/>
    </row>
    <row r="44" spans="1:14" ht="39" thickBot="1" x14ac:dyDescent="0.25">
      <c r="A44" s="16" t="s">
        <v>164</v>
      </c>
      <c r="B44" s="6"/>
      <c r="C44" s="241"/>
      <c r="D44" s="241"/>
      <c r="E44" s="13"/>
      <c r="F44" s="13"/>
      <c r="G44" s="13"/>
      <c r="H44" s="92">
        <f t="shared" si="5"/>
        <v>231919492.19999999</v>
      </c>
      <c r="I44" s="92">
        <v>231919492.19999999</v>
      </c>
      <c r="J44" s="92"/>
      <c r="K44" s="92"/>
      <c r="L44" s="52"/>
      <c r="M44" s="52"/>
      <c r="N44" s="52"/>
    </row>
    <row r="45" spans="1:14" ht="82.5" customHeight="1" x14ac:dyDescent="0.2">
      <c r="A45" s="94" t="s">
        <v>43</v>
      </c>
      <c r="B45" s="34" t="s">
        <v>108</v>
      </c>
      <c r="C45" s="89" t="s">
        <v>68</v>
      </c>
      <c r="D45" s="89" t="s">
        <v>83</v>
      </c>
      <c r="E45" s="249">
        <v>815219200</v>
      </c>
      <c r="F45" s="276">
        <v>4470580.09</v>
      </c>
      <c r="G45" s="249">
        <f>E45-F45</f>
        <v>810748619.90999997</v>
      </c>
      <c r="H45" s="33">
        <f t="shared" si="5"/>
        <v>1154395.82</v>
      </c>
      <c r="I45" s="33">
        <f>SUM(I46)</f>
        <v>1154395.82</v>
      </c>
      <c r="J45" s="33">
        <f t="shared" ref="J45" si="6">SUM(J46)</f>
        <v>0</v>
      </c>
      <c r="K45" s="33">
        <f>SUM(K46)</f>
        <v>0</v>
      </c>
      <c r="L45" s="52"/>
      <c r="M45" s="51"/>
      <c r="N45" s="79"/>
    </row>
    <row r="46" spans="1:14" ht="25.5" x14ac:dyDescent="0.2">
      <c r="A46" s="99" t="s">
        <v>72</v>
      </c>
      <c r="B46" s="95" t="s">
        <v>250</v>
      </c>
      <c r="C46" s="113"/>
      <c r="D46" s="113"/>
      <c r="E46" s="291"/>
      <c r="F46" s="246"/>
      <c r="G46" s="291"/>
      <c r="H46" s="8">
        <f t="shared" si="5"/>
        <v>1154395.82</v>
      </c>
      <c r="I46" s="8">
        <f>108183.24+652000+394212.58</f>
        <v>1154395.82</v>
      </c>
      <c r="J46" s="8"/>
      <c r="K46" s="8"/>
      <c r="L46" s="52"/>
      <c r="M46" s="51"/>
      <c r="N46" s="79"/>
    </row>
    <row r="47" spans="1:14" ht="39" thickBot="1" x14ac:dyDescent="0.25">
      <c r="A47" s="16" t="s">
        <v>127</v>
      </c>
      <c r="B47" s="96"/>
      <c r="C47" s="211"/>
      <c r="D47" s="211"/>
      <c r="E47" s="212"/>
      <c r="F47" s="209"/>
      <c r="G47" s="212"/>
      <c r="H47" s="92">
        <f t="shared" si="5"/>
        <v>923984.25</v>
      </c>
      <c r="I47" s="92">
        <v>923984.25</v>
      </c>
      <c r="J47" s="92"/>
      <c r="K47" s="92"/>
      <c r="L47" s="52"/>
      <c r="M47" s="51"/>
      <c r="N47" s="79"/>
    </row>
    <row r="48" spans="1:14" ht="51" x14ac:dyDescent="0.2">
      <c r="A48" s="94" t="s">
        <v>242</v>
      </c>
      <c r="B48" s="98" t="s">
        <v>119</v>
      </c>
      <c r="C48" s="89" t="s">
        <v>209</v>
      </c>
      <c r="D48" s="89" t="s">
        <v>138</v>
      </c>
      <c r="E48" s="107">
        <v>881541486.99000001</v>
      </c>
      <c r="F48" s="81">
        <v>0</v>
      </c>
      <c r="G48" s="107">
        <f>E48-F48</f>
        <v>881541486.99000001</v>
      </c>
      <c r="H48" s="81">
        <f t="shared" si="5"/>
        <v>0</v>
      </c>
      <c r="I48" s="81">
        <f>SUM(I49:I52)</f>
        <v>0</v>
      </c>
      <c r="J48" s="81">
        <f>SUM(J49:J52)</f>
        <v>0</v>
      </c>
      <c r="K48" s="81">
        <f>SUM(K49:K52)</f>
        <v>0</v>
      </c>
      <c r="L48" s="52"/>
      <c r="M48" s="51"/>
    </row>
    <row r="49" spans="1:14" ht="25.5" x14ac:dyDescent="0.2">
      <c r="A49" s="99" t="s">
        <v>72</v>
      </c>
      <c r="B49" s="192" t="s">
        <v>250</v>
      </c>
      <c r="C49" s="113"/>
      <c r="D49" s="113"/>
      <c r="E49" s="108"/>
      <c r="F49" s="87"/>
      <c r="G49" s="108"/>
      <c r="H49" s="87">
        <f t="shared" si="5"/>
        <v>0</v>
      </c>
      <c r="I49" s="87"/>
      <c r="J49" s="87">
        <f>3200000-76346.38-3123653.62</f>
        <v>0</v>
      </c>
      <c r="K49" s="87">
        <f>600000-600000</f>
        <v>0</v>
      </c>
      <c r="L49" s="52"/>
      <c r="M49" s="51"/>
      <c r="N49" s="79"/>
    </row>
    <row r="50" spans="1:14" ht="38.25" x14ac:dyDescent="0.2">
      <c r="A50" s="186" t="s">
        <v>226</v>
      </c>
      <c r="B50" s="192" t="s">
        <v>361</v>
      </c>
      <c r="C50" s="113"/>
      <c r="D50" s="113"/>
      <c r="E50" s="108"/>
      <c r="F50" s="87"/>
      <c r="G50" s="108"/>
      <c r="H50" s="87">
        <f t="shared" si="5"/>
        <v>0</v>
      </c>
      <c r="I50" s="87"/>
      <c r="J50" s="87">
        <f>3060912.15-3060912.15</f>
        <v>0</v>
      </c>
      <c r="K50" s="87"/>
      <c r="L50" s="52"/>
      <c r="M50" s="51"/>
      <c r="N50" s="52"/>
    </row>
    <row r="51" spans="1:14" ht="38.25" x14ac:dyDescent="0.2">
      <c r="A51" s="186" t="s">
        <v>227</v>
      </c>
      <c r="B51" s="192" t="s">
        <v>362</v>
      </c>
      <c r="C51" s="113"/>
      <c r="D51" s="113"/>
      <c r="E51" s="108"/>
      <c r="F51" s="87"/>
      <c r="G51" s="108"/>
      <c r="H51" s="87">
        <f t="shared" si="5"/>
        <v>0</v>
      </c>
      <c r="I51" s="87"/>
      <c r="J51" s="87">
        <f>3030303.03-3030303.03</f>
        <v>0</v>
      </c>
      <c r="K51" s="87"/>
      <c r="L51" s="52"/>
      <c r="M51" s="51"/>
      <c r="N51" s="52"/>
    </row>
    <row r="52" spans="1:14" ht="39" thickBot="1" x14ac:dyDescent="0.25">
      <c r="A52" s="188" t="s">
        <v>228</v>
      </c>
      <c r="B52" s="314" t="s">
        <v>363</v>
      </c>
      <c r="C52" s="131"/>
      <c r="D52" s="131"/>
      <c r="E52" s="122"/>
      <c r="F52" s="88"/>
      <c r="G52" s="122"/>
      <c r="H52" s="88">
        <f t="shared" si="5"/>
        <v>0</v>
      </c>
      <c r="I52" s="88"/>
      <c r="J52" s="88">
        <f>300000000-300000000</f>
        <v>0</v>
      </c>
      <c r="K52" s="88"/>
      <c r="L52" s="52"/>
      <c r="M52" s="51"/>
      <c r="N52" s="79"/>
    </row>
    <row r="53" spans="1:14" ht="38.25" x14ac:dyDescent="0.2">
      <c r="A53" s="442" t="s">
        <v>210</v>
      </c>
      <c r="B53" s="24"/>
      <c r="C53" s="154"/>
      <c r="D53" s="154"/>
      <c r="E53" s="152"/>
      <c r="F53" s="97"/>
      <c r="G53" s="152"/>
      <c r="H53" s="97">
        <f>I53+J53+K53</f>
        <v>0</v>
      </c>
      <c r="I53" s="97">
        <v>0</v>
      </c>
      <c r="J53" s="97">
        <v>0</v>
      </c>
      <c r="K53" s="97">
        <v>0</v>
      </c>
      <c r="L53" s="52"/>
      <c r="M53" s="51"/>
      <c r="N53" s="79"/>
    </row>
    <row r="54" spans="1:14" ht="39" thickBot="1" x14ac:dyDescent="0.25">
      <c r="A54" s="16" t="s">
        <v>127</v>
      </c>
      <c r="B54" s="96"/>
      <c r="C54" s="131"/>
      <c r="D54" s="131"/>
      <c r="E54" s="122"/>
      <c r="F54" s="88"/>
      <c r="G54" s="122"/>
      <c r="H54" s="321">
        <f>I54</f>
        <v>49650</v>
      </c>
      <c r="I54" s="321">
        <v>49650</v>
      </c>
      <c r="J54" s="321"/>
      <c r="K54" s="321"/>
      <c r="L54" s="52"/>
      <c r="M54" s="51"/>
      <c r="N54" s="79"/>
    </row>
    <row r="55" spans="1:14" ht="63.75" x14ac:dyDescent="0.2">
      <c r="A55" s="134" t="s">
        <v>259</v>
      </c>
      <c r="B55" s="242" t="s">
        <v>503</v>
      </c>
      <c r="C55" s="289" t="s">
        <v>505</v>
      </c>
      <c r="D55" s="289" t="s">
        <v>109</v>
      </c>
      <c r="E55" s="249">
        <v>7529630.3399999999</v>
      </c>
      <c r="F55" s="276"/>
      <c r="G55" s="249">
        <f>E55-F55</f>
        <v>7529630.3399999999</v>
      </c>
      <c r="H55" s="97">
        <f t="shared" ref="H55:H61" si="7">I55+J55+K55</f>
        <v>376500.52</v>
      </c>
      <c r="I55" s="81">
        <f>SUM(I56:I57)</f>
        <v>376500.52</v>
      </c>
      <c r="J55" s="81">
        <f t="shared" ref="J55:K55" si="8">SUM(J56)</f>
        <v>0</v>
      </c>
      <c r="K55" s="81">
        <f t="shared" si="8"/>
        <v>0</v>
      </c>
      <c r="L55" s="52"/>
      <c r="M55" s="51"/>
      <c r="N55" s="79"/>
    </row>
    <row r="56" spans="1:14" ht="25.5" x14ac:dyDescent="0.2">
      <c r="A56" s="99" t="s">
        <v>261</v>
      </c>
      <c r="B56" s="95" t="s">
        <v>260</v>
      </c>
      <c r="C56" s="113"/>
      <c r="D56" s="113"/>
      <c r="E56" s="108"/>
      <c r="F56" s="87"/>
      <c r="G56" s="108"/>
      <c r="H56" s="87">
        <f t="shared" si="7"/>
        <v>304246.68</v>
      </c>
      <c r="I56" s="87">
        <v>304246.68</v>
      </c>
      <c r="J56" s="87"/>
      <c r="K56" s="87"/>
      <c r="L56" s="52"/>
      <c r="M56" s="51"/>
      <c r="N56" s="79"/>
    </row>
    <row r="57" spans="1:14" ht="26.25" thickBot="1" x14ac:dyDescent="0.25">
      <c r="A57" s="188" t="s">
        <v>261</v>
      </c>
      <c r="B57" s="314" t="s">
        <v>268</v>
      </c>
      <c r="C57" s="131"/>
      <c r="D57" s="131"/>
      <c r="E57" s="122"/>
      <c r="F57" s="88"/>
      <c r="G57" s="122"/>
      <c r="H57" s="88">
        <f t="shared" si="7"/>
        <v>72253.84</v>
      </c>
      <c r="I57" s="88">
        <v>72253.84</v>
      </c>
      <c r="J57" s="88"/>
      <c r="K57" s="88"/>
      <c r="L57" s="52"/>
      <c r="M57" s="51"/>
      <c r="N57" s="79"/>
    </row>
    <row r="58" spans="1:14" ht="81.75" customHeight="1" x14ac:dyDescent="0.2">
      <c r="A58" s="135" t="s">
        <v>264</v>
      </c>
      <c r="B58" s="327" t="s">
        <v>100</v>
      </c>
      <c r="C58" s="357" t="s">
        <v>265</v>
      </c>
      <c r="D58" s="357" t="s">
        <v>109</v>
      </c>
      <c r="E58" s="277">
        <v>105425837.62</v>
      </c>
      <c r="F58" s="277">
        <v>15121951.189999999</v>
      </c>
      <c r="G58" s="277">
        <f>E58-F58</f>
        <v>90303886.430000007</v>
      </c>
      <c r="H58" s="97">
        <f t="shared" si="7"/>
        <v>90416996.520000011</v>
      </c>
      <c r="I58" s="97">
        <f>SUM(I59:I61)</f>
        <v>90416996.520000011</v>
      </c>
      <c r="J58" s="97">
        <f t="shared" ref="J58:K58" si="9">SUM(J60:J61)</f>
        <v>0</v>
      </c>
      <c r="K58" s="97">
        <f t="shared" si="9"/>
        <v>0</v>
      </c>
      <c r="L58" s="52"/>
      <c r="M58" s="51"/>
      <c r="N58" s="79"/>
    </row>
    <row r="59" spans="1:14" ht="25.5" x14ac:dyDescent="0.2">
      <c r="A59" s="99" t="s">
        <v>72</v>
      </c>
      <c r="B59" s="95" t="s">
        <v>250</v>
      </c>
      <c r="C59" s="357"/>
      <c r="D59" s="357"/>
      <c r="E59" s="277"/>
      <c r="F59" s="277"/>
      <c r="G59" s="277"/>
      <c r="H59" s="87">
        <f t="shared" si="7"/>
        <v>127393</v>
      </c>
      <c r="I59" s="97">
        <v>127393</v>
      </c>
      <c r="J59" s="97"/>
      <c r="K59" s="97"/>
      <c r="L59" s="52"/>
      <c r="M59" s="51"/>
      <c r="N59" s="79"/>
    </row>
    <row r="60" spans="1:14" ht="25.5" x14ac:dyDescent="0.2">
      <c r="A60" s="186" t="s">
        <v>266</v>
      </c>
      <c r="B60" s="192" t="s">
        <v>267</v>
      </c>
      <c r="C60" s="113"/>
      <c r="D60" s="113"/>
      <c r="E60" s="108"/>
      <c r="F60" s="87"/>
      <c r="G60" s="108"/>
      <c r="H60" s="87">
        <f t="shared" si="7"/>
        <v>4514480.18</v>
      </c>
      <c r="I60" s="87">
        <v>4514480.18</v>
      </c>
      <c r="J60" s="87"/>
      <c r="K60" s="87"/>
      <c r="L60" s="52"/>
      <c r="M60" s="51"/>
      <c r="N60" s="79"/>
    </row>
    <row r="61" spans="1:14" ht="26.25" thickBot="1" x14ac:dyDescent="0.25">
      <c r="A61" s="188" t="s">
        <v>371</v>
      </c>
      <c r="B61" s="314" t="s">
        <v>372</v>
      </c>
      <c r="C61" s="131"/>
      <c r="D61" s="131"/>
      <c r="E61" s="122"/>
      <c r="F61" s="88"/>
      <c r="G61" s="122"/>
      <c r="H61" s="88">
        <f t="shared" si="7"/>
        <v>85775123.340000004</v>
      </c>
      <c r="I61" s="88">
        <v>85775123.340000004</v>
      </c>
      <c r="J61" s="88"/>
      <c r="K61" s="88"/>
      <c r="L61" s="52"/>
      <c r="M61" s="51"/>
      <c r="N61" s="79"/>
    </row>
    <row r="62" spans="1:14" ht="66.75" customHeight="1" x14ac:dyDescent="0.2">
      <c r="A62" s="323" t="s">
        <v>524</v>
      </c>
      <c r="B62" s="311" t="s">
        <v>525</v>
      </c>
      <c r="C62" s="289" t="s">
        <v>505</v>
      </c>
      <c r="D62" s="289" t="s">
        <v>109</v>
      </c>
      <c r="E62" s="152">
        <v>1718430</v>
      </c>
      <c r="F62" s="97"/>
      <c r="G62" s="152">
        <f>E62</f>
        <v>1718430</v>
      </c>
      <c r="H62" s="81">
        <f>I62+J62+K62</f>
        <v>1718430</v>
      </c>
      <c r="I62" s="97">
        <f>SUM(I63)</f>
        <v>1718430</v>
      </c>
      <c r="J62" s="97">
        <f t="shared" ref="J62:K62" si="10">SUM(J63)</f>
        <v>0</v>
      </c>
      <c r="K62" s="97">
        <f t="shared" si="10"/>
        <v>0</v>
      </c>
      <c r="L62" s="52"/>
      <c r="M62" s="51"/>
      <c r="N62" s="79"/>
    </row>
    <row r="63" spans="1:14" ht="26.25" customHeight="1" thickBot="1" x14ac:dyDescent="0.25">
      <c r="A63" s="237" t="s">
        <v>526</v>
      </c>
      <c r="B63" s="403" t="s">
        <v>527</v>
      </c>
      <c r="C63" s="143"/>
      <c r="D63" s="143"/>
      <c r="E63" s="136"/>
      <c r="F63" s="105"/>
      <c r="G63" s="136"/>
      <c r="H63" s="88">
        <f>I63+J63+K63</f>
        <v>1718430</v>
      </c>
      <c r="I63" s="105">
        <v>1718430</v>
      </c>
      <c r="J63" s="105"/>
      <c r="K63" s="105"/>
      <c r="L63" s="52"/>
      <c r="M63" s="51"/>
      <c r="N63" s="79"/>
    </row>
    <row r="64" spans="1:14" ht="56.25" customHeight="1" x14ac:dyDescent="0.2">
      <c r="A64" s="323" t="s">
        <v>626</v>
      </c>
      <c r="B64" s="311" t="s">
        <v>100</v>
      </c>
      <c r="C64" s="154" t="s">
        <v>550</v>
      </c>
      <c r="D64" s="154" t="s">
        <v>109</v>
      </c>
      <c r="E64" s="152">
        <v>253765319.56</v>
      </c>
      <c r="F64" s="97"/>
      <c r="G64" s="152">
        <f>E64-F64</f>
        <v>253765319.56</v>
      </c>
      <c r="H64" s="81">
        <f>I64+J64+K64</f>
        <v>187356447.82999998</v>
      </c>
      <c r="I64" s="97">
        <f>SUM(I65:I66)</f>
        <v>2105263.16</v>
      </c>
      <c r="J64" s="97">
        <f t="shared" ref="J64:K64" si="11">SUM(J65:J66)</f>
        <v>82105263.159999996</v>
      </c>
      <c r="K64" s="97">
        <f t="shared" si="11"/>
        <v>103145921.51000001</v>
      </c>
      <c r="L64" s="52"/>
      <c r="M64" s="51"/>
      <c r="N64" s="79"/>
    </row>
    <row r="65" spans="1:14" ht="26.25" customHeight="1" x14ac:dyDescent="0.2">
      <c r="A65" s="186" t="s">
        <v>266</v>
      </c>
      <c r="B65" s="192" t="s">
        <v>576</v>
      </c>
      <c r="C65" s="113"/>
      <c r="D65" s="113"/>
      <c r="E65" s="108"/>
      <c r="F65" s="87"/>
      <c r="G65" s="108"/>
      <c r="H65" s="87">
        <f>I65+J65+K65</f>
        <v>9367822.4000000004</v>
      </c>
      <c r="I65" s="87">
        <v>105263.16</v>
      </c>
      <c r="J65" s="87">
        <v>4105263.16</v>
      </c>
      <c r="K65" s="87">
        <v>5157296.08</v>
      </c>
      <c r="L65" s="52"/>
      <c r="M65" s="52"/>
      <c r="N65" s="79"/>
    </row>
    <row r="66" spans="1:14" ht="26.25" customHeight="1" thickBot="1" x14ac:dyDescent="0.25">
      <c r="A66" s="237" t="s">
        <v>590</v>
      </c>
      <c r="B66" s="403" t="s">
        <v>591</v>
      </c>
      <c r="C66" s="143"/>
      <c r="D66" s="143"/>
      <c r="E66" s="136"/>
      <c r="F66" s="105"/>
      <c r="G66" s="136"/>
      <c r="H66" s="105">
        <f>I66+J66+K66</f>
        <v>177988625.43000001</v>
      </c>
      <c r="I66" s="105">
        <v>2000000</v>
      </c>
      <c r="J66" s="105">
        <v>78000000</v>
      </c>
      <c r="K66" s="105">
        <v>97988625.430000007</v>
      </c>
      <c r="L66" s="52"/>
      <c r="M66" s="52"/>
      <c r="N66" s="79"/>
    </row>
    <row r="67" spans="1:14" ht="39" thickBot="1" x14ac:dyDescent="0.25">
      <c r="A67" s="10" t="s">
        <v>86</v>
      </c>
      <c r="B67" s="215"/>
      <c r="C67" s="216"/>
      <c r="D67" s="216"/>
      <c r="E67" s="217"/>
      <c r="F67" s="218"/>
      <c r="G67" s="217"/>
      <c r="H67" s="271">
        <f t="shared" ref="H67:H69" si="12">I67+J67+K67</f>
        <v>276203690.91000003</v>
      </c>
      <c r="I67" s="144">
        <f>I68+I83</f>
        <v>276203690.91000003</v>
      </c>
      <c r="J67" s="144">
        <f>J68+J83</f>
        <v>0</v>
      </c>
      <c r="K67" s="144">
        <f>K68+K83</f>
        <v>0</v>
      </c>
      <c r="L67" s="52"/>
      <c r="M67" s="51"/>
      <c r="N67" s="79"/>
    </row>
    <row r="68" spans="1:14" ht="27.75" thickBot="1" x14ac:dyDescent="0.25">
      <c r="A68" s="55" t="s">
        <v>60</v>
      </c>
      <c r="B68" s="215"/>
      <c r="C68" s="216"/>
      <c r="D68" s="216"/>
      <c r="E68" s="217"/>
      <c r="F68" s="218"/>
      <c r="G68" s="217"/>
      <c r="H68" s="272">
        <f t="shared" si="12"/>
        <v>273634690.91000003</v>
      </c>
      <c r="I68" s="273">
        <f t="shared" ref="I68:K69" si="13">I69</f>
        <v>273634690.91000003</v>
      </c>
      <c r="J68" s="273">
        <f t="shared" si="13"/>
        <v>0</v>
      </c>
      <c r="K68" s="273">
        <f t="shared" si="13"/>
        <v>0</v>
      </c>
      <c r="L68" s="52"/>
      <c r="M68" s="51"/>
      <c r="N68" s="79"/>
    </row>
    <row r="69" spans="1:14" ht="27.75" thickBot="1" x14ac:dyDescent="0.25">
      <c r="A69" s="55" t="s">
        <v>62</v>
      </c>
      <c r="B69" s="215"/>
      <c r="C69" s="216"/>
      <c r="D69" s="216"/>
      <c r="E69" s="217"/>
      <c r="F69" s="218"/>
      <c r="G69" s="217"/>
      <c r="H69" s="272">
        <f t="shared" si="12"/>
        <v>273634690.91000003</v>
      </c>
      <c r="I69" s="273">
        <f>I70+I78</f>
        <v>273634690.91000003</v>
      </c>
      <c r="J69" s="273">
        <f t="shared" si="13"/>
        <v>0</v>
      </c>
      <c r="K69" s="273">
        <f t="shared" si="13"/>
        <v>0</v>
      </c>
      <c r="L69" s="54"/>
      <c r="M69" s="51"/>
      <c r="N69" s="79"/>
    </row>
    <row r="70" spans="1:14" ht="56.25" customHeight="1" x14ac:dyDescent="0.2">
      <c r="A70" s="94" t="s">
        <v>33</v>
      </c>
      <c r="B70" s="98" t="s">
        <v>100</v>
      </c>
      <c r="C70" s="89" t="s">
        <v>107</v>
      </c>
      <c r="D70" s="250" t="s">
        <v>118</v>
      </c>
      <c r="E70" s="107">
        <v>354181766.83999997</v>
      </c>
      <c r="F70" s="107">
        <v>78232840.280000001</v>
      </c>
      <c r="G70" s="107">
        <f>E70-F70</f>
        <v>275948926.55999994</v>
      </c>
      <c r="H70" s="107">
        <f>I70+J70+K70</f>
        <v>270119875.21000004</v>
      </c>
      <c r="I70" s="107">
        <f>SUM(I71:I74)</f>
        <v>270119875.21000004</v>
      </c>
      <c r="J70" s="107">
        <f t="shared" ref="J70:K70" si="14">SUM(J71:J74)</f>
        <v>0</v>
      </c>
      <c r="K70" s="107">
        <f t="shared" si="14"/>
        <v>0</v>
      </c>
      <c r="L70" s="52"/>
      <c r="M70" s="51"/>
      <c r="N70" s="79"/>
    </row>
    <row r="71" spans="1:14" ht="25.5" x14ac:dyDescent="0.2">
      <c r="A71" s="99" t="s">
        <v>257</v>
      </c>
      <c r="B71" s="95" t="s">
        <v>258</v>
      </c>
      <c r="C71" s="113"/>
      <c r="D71" s="337"/>
      <c r="E71" s="108"/>
      <c r="F71" s="108"/>
      <c r="G71" s="108"/>
      <c r="H71" s="152">
        <f>SUM(I71:K71)</f>
        <v>548396.07999999996</v>
      </c>
      <c r="I71" s="108">
        <v>548396.07999999996</v>
      </c>
      <c r="J71" s="108"/>
      <c r="K71" s="108"/>
      <c r="L71" s="52"/>
      <c r="M71" s="51"/>
      <c r="N71" s="79"/>
    </row>
    <row r="72" spans="1:14" ht="25.5" x14ac:dyDescent="0.2">
      <c r="A72" s="186" t="s">
        <v>253</v>
      </c>
      <c r="B72" s="95" t="s">
        <v>254</v>
      </c>
      <c r="C72" s="113"/>
      <c r="D72" s="337"/>
      <c r="E72" s="108"/>
      <c r="F72" s="108"/>
      <c r="G72" s="108"/>
      <c r="H72" s="108">
        <f>SUM(I72:K72)</f>
        <v>2719339.16</v>
      </c>
      <c r="I72" s="108">
        <f>2719963.81-624.65</f>
        <v>2719339.16</v>
      </c>
      <c r="J72" s="27"/>
      <c r="K72" s="27"/>
      <c r="L72" s="52"/>
      <c r="M72" s="51"/>
      <c r="N72" s="79"/>
    </row>
    <row r="73" spans="1:14" ht="25.5" x14ac:dyDescent="0.2">
      <c r="A73" s="186" t="s">
        <v>293</v>
      </c>
      <c r="B73" s="192" t="s">
        <v>294</v>
      </c>
      <c r="C73" s="113"/>
      <c r="D73" s="337"/>
      <c r="E73" s="108"/>
      <c r="F73" s="108"/>
      <c r="G73" s="108"/>
      <c r="H73" s="108">
        <f t="shared" ref="H73:H74" si="15">SUM(I73:K73)</f>
        <v>231544280.66</v>
      </c>
      <c r="I73" s="108">
        <f>224915.14+230936632.96+10750482.66-10367750.1</f>
        <v>231544280.66</v>
      </c>
      <c r="J73" s="27"/>
      <c r="K73" s="27"/>
      <c r="L73" s="394"/>
      <c r="M73" s="51"/>
      <c r="N73" s="380"/>
    </row>
    <row r="74" spans="1:14" ht="25.5" x14ac:dyDescent="0.2">
      <c r="A74" s="186" t="s">
        <v>292</v>
      </c>
      <c r="B74" s="192" t="s">
        <v>291</v>
      </c>
      <c r="C74" s="113"/>
      <c r="D74" s="337"/>
      <c r="E74" s="108"/>
      <c r="F74" s="108"/>
      <c r="G74" s="108"/>
      <c r="H74" s="108">
        <f t="shared" si="15"/>
        <v>35307859.310000002</v>
      </c>
      <c r="I74" s="108">
        <f>10243886.87+27310488.77-14065224.95+1450958.52+10367750.1</f>
        <v>35307859.310000002</v>
      </c>
      <c r="J74" s="27"/>
      <c r="K74" s="27"/>
      <c r="L74" s="394"/>
      <c r="M74" s="51"/>
      <c r="N74" s="79"/>
    </row>
    <row r="75" spans="1:14" ht="38.25" x14ac:dyDescent="0.2">
      <c r="A75" s="99" t="s">
        <v>167</v>
      </c>
      <c r="B75" s="198"/>
      <c r="C75" s="219"/>
      <c r="D75" s="220"/>
      <c r="E75" s="207"/>
      <c r="F75" s="207"/>
      <c r="G75" s="207"/>
      <c r="H75" s="318">
        <f t="shared" ref="H75:H77" si="16">I75+J75+K75</f>
        <v>285.11</v>
      </c>
      <c r="I75" s="252">
        <v>285.11</v>
      </c>
      <c r="J75" s="27"/>
      <c r="K75" s="27"/>
      <c r="L75" s="52"/>
      <c r="M75" s="51"/>
      <c r="N75" s="79"/>
    </row>
    <row r="76" spans="1:14" ht="38.25" x14ac:dyDescent="0.2">
      <c r="A76" s="99" t="s">
        <v>168</v>
      </c>
      <c r="B76" s="198"/>
      <c r="C76" s="219"/>
      <c r="D76" s="220"/>
      <c r="E76" s="207"/>
      <c r="F76" s="207"/>
      <c r="G76" s="207"/>
      <c r="H76" s="252">
        <f t="shared" si="16"/>
        <v>-125168.34</v>
      </c>
      <c r="I76" s="252">
        <v>-125168.34</v>
      </c>
      <c r="J76" s="27"/>
      <c r="K76" s="27"/>
      <c r="L76" s="79"/>
      <c r="M76" s="51"/>
      <c r="N76" s="79"/>
    </row>
    <row r="77" spans="1:14" ht="41.25" customHeight="1" thickBot="1" x14ac:dyDescent="0.25">
      <c r="A77" s="90" t="s">
        <v>169</v>
      </c>
      <c r="B77" s="208"/>
      <c r="C77" s="221"/>
      <c r="D77" s="222"/>
      <c r="E77" s="203"/>
      <c r="F77" s="203"/>
      <c r="G77" s="203"/>
      <c r="H77" s="253">
        <f t="shared" si="16"/>
        <v>154890.07999999999</v>
      </c>
      <c r="I77" s="253">
        <v>154890.07999999999</v>
      </c>
      <c r="J77" s="29"/>
      <c r="K77" s="29"/>
      <c r="L77" s="79"/>
      <c r="M77" s="51"/>
      <c r="N77" s="79"/>
    </row>
    <row r="78" spans="1:14" ht="51" x14ac:dyDescent="0.2">
      <c r="A78" s="94" t="s">
        <v>256</v>
      </c>
      <c r="B78" s="98" t="s">
        <v>108</v>
      </c>
      <c r="C78" s="89" t="s">
        <v>573</v>
      </c>
      <c r="D78" s="250" t="s">
        <v>109</v>
      </c>
      <c r="E78" s="107">
        <v>220000000</v>
      </c>
      <c r="F78" s="107">
        <v>779953.1</v>
      </c>
      <c r="G78" s="107">
        <f>E78-F78</f>
        <v>219220046.90000001</v>
      </c>
      <c r="H78" s="107">
        <f>I78+J78+K78</f>
        <v>3514815.7</v>
      </c>
      <c r="I78" s="107">
        <f>SUM(I79:I82)</f>
        <v>3514815.7</v>
      </c>
      <c r="J78" s="107">
        <f t="shared" ref="J78:K78" si="17">SUM(J79:J82)</f>
        <v>0</v>
      </c>
      <c r="K78" s="107">
        <f t="shared" si="17"/>
        <v>0</v>
      </c>
      <c r="L78" s="52"/>
      <c r="M78" s="51"/>
      <c r="N78" s="79"/>
    </row>
    <row r="79" spans="1:14" ht="25.5" x14ac:dyDescent="0.2">
      <c r="A79" s="99" t="s">
        <v>257</v>
      </c>
      <c r="B79" s="95" t="s">
        <v>258</v>
      </c>
      <c r="C79" s="113"/>
      <c r="D79" s="337"/>
      <c r="E79" s="108"/>
      <c r="F79" s="207"/>
      <c r="G79" s="207"/>
      <c r="H79" s="108">
        <f>SUM(I79:K79)</f>
        <v>3514815.7</v>
      </c>
      <c r="I79" s="108">
        <f>2973285.7+541530</f>
        <v>3514815.7</v>
      </c>
      <c r="J79" s="27"/>
      <c r="K79" s="27"/>
      <c r="L79" s="52"/>
      <c r="M79" s="51"/>
      <c r="N79" s="79"/>
    </row>
    <row r="80" spans="1:14" ht="25.5" x14ac:dyDescent="0.2">
      <c r="A80" s="336" t="s">
        <v>253</v>
      </c>
      <c r="B80" s="316" t="s">
        <v>254</v>
      </c>
      <c r="C80" s="112"/>
      <c r="D80" s="317"/>
      <c r="E80" s="130"/>
      <c r="F80" s="379"/>
      <c r="G80" s="379"/>
      <c r="H80" s="360">
        <f>SUM(I80:K80)</f>
        <v>0</v>
      </c>
      <c r="I80" s="130">
        <f>1273762.26-954715.5-319046.76</f>
        <v>0</v>
      </c>
      <c r="J80" s="260"/>
      <c r="K80" s="260"/>
      <c r="L80" s="52"/>
      <c r="M80" s="51"/>
      <c r="N80" s="79"/>
    </row>
    <row r="81" spans="1:14" ht="25.5" x14ac:dyDescent="0.2">
      <c r="A81" s="186" t="s">
        <v>293</v>
      </c>
      <c r="B81" s="192" t="s">
        <v>294</v>
      </c>
      <c r="C81" s="113"/>
      <c r="D81" s="337"/>
      <c r="E81" s="108"/>
      <c r="F81" s="207"/>
      <c r="G81" s="207"/>
      <c r="H81" s="108">
        <f t="shared" ref="H81:H82" si="18">SUM(I81:K81)</f>
        <v>0</v>
      </c>
      <c r="I81" s="108">
        <f>315856.29-315856.29</f>
        <v>0</v>
      </c>
      <c r="J81" s="27"/>
      <c r="K81" s="27"/>
      <c r="L81" s="52"/>
      <c r="M81" s="51"/>
      <c r="N81" s="79"/>
    </row>
    <row r="82" spans="1:14" ht="26.25" thickBot="1" x14ac:dyDescent="0.25">
      <c r="A82" s="312" t="s">
        <v>292</v>
      </c>
      <c r="B82" s="313" t="s">
        <v>291</v>
      </c>
      <c r="C82" s="344"/>
      <c r="D82" s="431"/>
      <c r="E82" s="360"/>
      <c r="F82" s="432"/>
      <c r="G82" s="432"/>
      <c r="H82" s="360">
        <f t="shared" si="18"/>
        <v>0</v>
      </c>
      <c r="I82" s="360">
        <f>31269773.1-1450958.52-29818814.58</f>
        <v>0</v>
      </c>
      <c r="J82" s="333"/>
      <c r="K82" s="333"/>
      <c r="L82" s="52"/>
      <c r="M82" s="51"/>
      <c r="N82" s="79"/>
    </row>
    <row r="83" spans="1:14" ht="27.75" thickBot="1" x14ac:dyDescent="0.25">
      <c r="A83" s="439" t="s">
        <v>582</v>
      </c>
      <c r="B83" s="392"/>
      <c r="C83" s="142"/>
      <c r="D83" s="434"/>
      <c r="E83" s="175"/>
      <c r="F83" s="435"/>
      <c r="G83" s="435"/>
      <c r="H83" s="438">
        <f>I83+J83+K83</f>
        <v>2569000</v>
      </c>
      <c r="I83" s="438">
        <f>I84</f>
        <v>2569000</v>
      </c>
      <c r="J83" s="438">
        <f t="shared" ref="J83:K83" si="19">J84</f>
        <v>0</v>
      </c>
      <c r="K83" s="438">
        <f t="shared" si="19"/>
        <v>0</v>
      </c>
      <c r="L83" s="52"/>
      <c r="M83" s="51"/>
      <c r="N83" s="79"/>
    </row>
    <row r="84" spans="1:14" ht="28.5" x14ac:dyDescent="0.2">
      <c r="A84" s="323" t="s">
        <v>583</v>
      </c>
      <c r="B84" s="311" t="s">
        <v>108</v>
      </c>
      <c r="C84" s="357" t="s">
        <v>589</v>
      </c>
      <c r="D84" s="407" t="s">
        <v>109</v>
      </c>
      <c r="E84" s="152">
        <v>2569000</v>
      </c>
      <c r="F84" s="433"/>
      <c r="G84" s="28">
        <f>E84-F84</f>
        <v>2569000</v>
      </c>
      <c r="H84" s="81">
        <f>I84+J84+K84</f>
        <v>2569000</v>
      </c>
      <c r="I84" s="107">
        <f>SUM(I85)</f>
        <v>2569000</v>
      </c>
      <c r="J84" s="107">
        <f t="shared" ref="J84:K84" si="20">SUM(J85)</f>
        <v>0</v>
      </c>
      <c r="K84" s="107">
        <f t="shared" si="20"/>
        <v>0</v>
      </c>
      <c r="L84" s="52"/>
      <c r="M84" s="51"/>
      <c r="N84" s="79"/>
    </row>
    <row r="85" spans="1:14" ht="26.25" thickBot="1" x14ac:dyDescent="0.25">
      <c r="A85" s="237" t="s">
        <v>581</v>
      </c>
      <c r="B85" s="403" t="s">
        <v>580</v>
      </c>
      <c r="C85" s="143"/>
      <c r="D85" s="143"/>
      <c r="E85" s="136"/>
      <c r="F85" s="105"/>
      <c r="G85" s="136"/>
      <c r="H85" s="105">
        <f>I85+J85+K85</f>
        <v>2569000</v>
      </c>
      <c r="I85" s="105">
        <v>2569000</v>
      </c>
      <c r="J85" s="105"/>
      <c r="K85" s="105"/>
      <c r="L85" s="52"/>
      <c r="M85" s="51"/>
      <c r="N85" s="79"/>
    </row>
    <row r="86" spans="1:14" ht="26.25" thickBot="1" x14ac:dyDescent="0.25">
      <c r="A86" s="450" t="s">
        <v>101</v>
      </c>
      <c r="B86" s="57"/>
      <c r="C86" s="57"/>
      <c r="D86" s="57"/>
      <c r="E86" s="58"/>
      <c r="F86" s="58"/>
      <c r="G86" s="58"/>
      <c r="H86" s="59">
        <f>H19+H67</f>
        <v>2198884034.5500002</v>
      </c>
      <c r="I86" s="59">
        <f>SUM(I87:I115)</f>
        <v>1959583139.0400002</v>
      </c>
      <c r="J86" s="59">
        <f>SUM(J87:J115)</f>
        <v>136154974</v>
      </c>
      <c r="K86" s="59">
        <f>SUM(K87:K115)</f>
        <v>103145921.51000001</v>
      </c>
      <c r="L86" s="193"/>
      <c r="M86" s="114">
        <f>I86+J86+K86</f>
        <v>2198884034.5500002</v>
      </c>
    </row>
    <row r="87" spans="1:14" ht="25.5" x14ac:dyDescent="0.2">
      <c r="A87" s="159" t="s">
        <v>72</v>
      </c>
      <c r="B87" s="34" t="s">
        <v>251</v>
      </c>
      <c r="C87" s="183"/>
      <c r="D87" s="183"/>
      <c r="E87" s="184"/>
      <c r="F87" s="184"/>
      <c r="G87" s="184"/>
      <c r="H87" s="33">
        <f t="shared" ref="H87:H115" si="21">I87+J87+K87</f>
        <v>4226466.88</v>
      </c>
      <c r="I87" s="81">
        <f>I27+I49+I46+I21+I59</f>
        <v>3626466.88</v>
      </c>
      <c r="J87" s="81">
        <f>J27+J49+J46+J21+J59</f>
        <v>600000</v>
      </c>
      <c r="K87" s="81">
        <f>K27+K49+K46+K21+K59</f>
        <v>0</v>
      </c>
      <c r="L87" s="181"/>
      <c r="M87" s="100"/>
    </row>
    <row r="88" spans="1:14" ht="25.5" x14ac:dyDescent="0.2">
      <c r="A88" s="9" t="s">
        <v>72</v>
      </c>
      <c r="B88" s="5" t="s">
        <v>528</v>
      </c>
      <c r="C88" s="425"/>
      <c r="D88" s="425"/>
      <c r="E88" s="426"/>
      <c r="F88" s="426"/>
      <c r="G88" s="426"/>
      <c r="H88" s="8">
        <f t="shared" si="21"/>
        <v>1718430</v>
      </c>
      <c r="I88" s="87">
        <f>I63</f>
        <v>1718430</v>
      </c>
      <c r="J88" s="87">
        <f>J63</f>
        <v>0</v>
      </c>
      <c r="K88" s="87">
        <f>K63</f>
        <v>0</v>
      </c>
      <c r="L88" s="181"/>
      <c r="M88" s="100" t="s">
        <v>84</v>
      </c>
    </row>
    <row r="89" spans="1:14" ht="25.5" x14ac:dyDescent="0.2">
      <c r="A89" s="186" t="s">
        <v>74</v>
      </c>
      <c r="B89" s="192" t="s">
        <v>546</v>
      </c>
      <c r="C89" s="404"/>
      <c r="D89" s="404"/>
      <c r="E89" s="405"/>
      <c r="F89" s="405"/>
      <c r="G89" s="405"/>
      <c r="H89" s="8">
        <f t="shared" si="21"/>
        <v>653009.42000000004</v>
      </c>
      <c r="I89" s="97">
        <f t="shared" ref="I89:K90" si="22">I28</f>
        <v>653009.42000000004</v>
      </c>
      <c r="J89" s="97">
        <f t="shared" si="22"/>
        <v>0</v>
      </c>
      <c r="K89" s="97">
        <f t="shared" si="22"/>
        <v>0</v>
      </c>
      <c r="L89" s="181"/>
      <c r="M89" s="100"/>
    </row>
    <row r="90" spans="1:14" ht="25.5" x14ac:dyDescent="0.2">
      <c r="A90" s="186" t="s">
        <v>575</v>
      </c>
      <c r="B90" s="192" t="s">
        <v>546</v>
      </c>
      <c r="C90" s="404"/>
      <c r="D90" s="404"/>
      <c r="E90" s="405"/>
      <c r="F90" s="405"/>
      <c r="G90" s="405"/>
      <c r="H90" s="8">
        <f t="shared" si="21"/>
        <v>2459337.37</v>
      </c>
      <c r="I90" s="97">
        <f t="shared" si="22"/>
        <v>2459337.37</v>
      </c>
      <c r="J90" s="97">
        <f t="shared" si="22"/>
        <v>0</v>
      </c>
      <c r="K90" s="97">
        <f t="shared" si="22"/>
        <v>0</v>
      </c>
      <c r="L90" s="181"/>
      <c r="M90" s="100"/>
    </row>
    <row r="91" spans="1:14" ht="25.5" x14ac:dyDescent="0.2">
      <c r="A91" s="186" t="s">
        <v>75</v>
      </c>
      <c r="B91" s="192" t="s">
        <v>553</v>
      </c>
      <c r="C91" s="404"/>
      <c r="D91" s="404"/>
      <c r="E91" s="405"/>
      <c r="F91" s="405"/>
      <c r="G91" s="405"/>
      <c r="H91" s="8">
        <f t="shared" si="21"/>
        <v>64647932.450000003</v>
      </c>
      <c r="I91" s="97">
        <f>I32</f>
        <v>64647932.450000003</v>
      </c>
      <c r="J91" s="97">
        <f>J32</f>
        <v>0</v>
      </c>
      <c r="K91" s="97">
        <f>K32</f>
        <v>0</v>
      </c>
      <c r="L91" s="181"/>
      <c r="M91" s="100"/>
    </row>
    <row r="92" spans="1:14" ht="25.5" x14ac:dyDescent="0.2">
      <c r="A92" s="186" t="s">
        <v>574</v>
      </c>
      <c r="B92" s="192" t="s">
        <v>553</v>
      </c>
      <c r="C92" s="404"/>
      <c r="D92" s="404"/>
      <c r="E92" s="405"/>
      <c r="F92" s="405"/>
      <c r="G92" s="405"/>
      <c r="H92" s="8">
        <f t="shared" si="21"/>
        <v>243474400</v>
      </c>
      <c r="I92" s="97">
        <f>I31</f>
        <v>243474400</v>
      </c>
      <c r="J92" s="97">
        <f>J31</f>
        <v>0</v>
      </c>
      <c r="K92" s="97">
        <f>K31</f>
        <v>0</v>
      </c>
      <c r="L92" s="181"/>
      <c r="M92" s="100"/>
    </row>
    <row r="93" spans="1:14" ht="25.5" x14ac:dyDescent="0.2">
      <c r="A93" s="9" t="s">
        <v>74</v>
      </c>
      <c r="B93" s="95" t="s">
        <v>236</v>
      </c>
      <c r="C93" s="69"/>
      <c r="D93" s="69"/>
      <c r="E93" s="70"/>
      <c r="F93" s="70"/>
      <c r="G93" s="70"/>
      <c r="H93" s="8">
        <f t="shared" si="21"/>
        <v>3853737.21</v>
      </c>
      <c r="I93" s="8">
        <f>I30</f>
        <v>3319240.1</v>
      </c>
      <c r="J93" s="8">
        <f>J30</f>
        <v>534497.10999999987</v>
      </c>
      <c r="K93" s="8">
        <f>K30</f>
        <v>0</v>
      </c>
    </row>
    <row r="94" spans="1:14" ht="25.5" x14ac:dyDescent="0.2">
      <c r="A94" s="9" t="s">
        <v>75</v>
      </c>
      <c r="B94" s="160" t="s">
        <v>237</v>
      </c>
      <c r="C94" s="69"/>
      <c r="D94" s="69"/>
      <c r="E94" s="70"/>
      <c r="F94" s="70"/>
      <c r="G94" s="70"/>
      <c r="H94" s="8">
        <f t="shared" si="21"/>
        <v>99715783.729999989</v>
      </c>
      <c r="I94" s="8">
        <f t="shared" ref="I94:K95" si="23">I33</f>
        <v>46800570</v>
      </c>
      <c r="J94" s="8">
        <f t="shared" si="23"/>
        <v>52915213.729999997</v>
      </c>
      <c r="K94" s="8">
        <f t="shared" si="23"/>
        <v>0</v>
      </c>
    </row>
    <row r="95" spans="1:14" ht="25.5" x14ac:dyDescent="0.2">
      <c r="A95" s="9" t="s">
        <v>35</v>
      </c>
      <c r="B95" s="5" t="s">
        <v>238</v>
      </c>
      <c r="C95" s="69"/>
      <c r="D95" s="69"/>
      <c r="E95" s="70"/>
      <c r="F95" s="70"/>
      <c r="G95" s="70"/>
      <c r="H95" s="8">
        <f t="shared" si="21"/>
        <v>281804200</v>
      </c>
      <c r="I95" s="8">
        <f t="shared" si="23"/>
        <v>281804200</v>
      </c>
      <c r="J95" s="8">
        <f t="shared" si="23"/>
        <v>0</v>
      </c>
      <c r="K95" s="8">
        <f t="shared" si="23"/>
        <v>0</v>
      </c>
    </row>
    <row r="96" spans="1:14" ht="25.5" x14ac:dyDescent="0.2">
      <c r="A96" s="186" t="s">
        <v>511</v>
      </c>
      <c r="B96" s="192" t="s">
        <v>522</v>
      </c>
      <c r="C96" s="69"/>
      <c r="D96" s="69"/>
      <c r="E96" s="70"/>
      <c r="F96" s="70"/>
      <c r="G96" s="70"/>
      <c r="H96" s="8">
        <f t="shared" si="21"/>
        <v>0</v>
      </c>
      <c r="I96" s="8">
        <f t="shared" ref="I96:K99" si="24">I39</f>
        <v>0</v>
      </c>
      <c r="J96" s="8">
        <f t="shared" si="24"/>
        <v>0</v>
      </c>
      <c r="K96" s="8">
        <f t="shared" si="24"/>
        <v>0</v>
      </c>
    </row>
    <row r="97" spans="1:11" ht="25.5" x14ac:dyDescent="0.2">
      <c r="A97" s="186" t="s">
        <v>560</v>
      </c>
      <c r="B97" s="192" t="s">
        <v>522</v>
      </c>
      <c r="C97" s="69"/>
      <c r="D97" s="69"/>
      <c r="E97" s="70"/>
      <c r="F97" s="70"/>
      <c r="G97" s="70"/>
      <c r="H97" s="8">
        <f t="shared" si="21"/>
        <v>9158344.4499999993</v>
      </c>
      <c r="I97" s="8">
        <f t="shared" si="24"/>
        <v>9158344.4499999993</v>
      </c>
      <c r="J97" s="8">
        <f t="shared" si="24"/>
        <v>0</v>
      </c>
      <c r="K97" s="8">
        <f t="shared" si="24"/>
        <v>0</v>
      </c>
    </row>
    <row r="98" spans="1:11" ht="25.5" x14ac:dyDescent="0.2">
      <c r="A98" s="186" t="s">
        <v>559</v>
      </c>
      <c r="B98" s="192" t="s">
        <v>474</v>
      </c>
      <c r="C98" s="69"/>
      <c r="D98" s="69"/>
      <c r="E98" s="70"/>
      <c r="F98" s="70"/>
      <c r="G98" s="70"/>
      <c r="H98" s="8">
        <f t="shared" si="21"/>
        <v>906676100</v>
      </c>
      <c r="I98" s="8">
        <f t="shared" si="24"/>
        <v>906676100</v>
      </c>
      <c r="J98" s="8">
        <f t="shared" si="24"/>
        <v>0</v>
      </c>
      <c r="K98" s="8">
        <f t="shared" si="24"/>
        <v>0</v>
      </c>
    </row>
    <row r="99" spans="1:11" ht="25.5" x14ac:dyDescent="0.2">
      <c r="A99" s="186" t="s">
        <v>32</v>
      </c>
      <c r="B99" s="192" t="s">
        <v>474</v>
      </c>
      <c r="C99" s="69"/>
      <c r="D99" s="69"/>
      <c r="E99" s="70"/>
      <c r="F99" s="70"/>
      <c r="G99" s="70"/>
      <c r="H99" s="8">
        <f t="shared" si="21"/>
        <v>0</v>
      </c>
      <c r="I99" s="8">
        <f t="shared" si="24"/>
        <v>0</v>
      </c>
      <c r="J99" s="8">
        <f t="shared" si="24"/>
        <v>0</v>
      </c>
      <c r="K99" s="8">
        <f t="shared" si="24"/>
        <v>0</v>
      </c>
    </row>
    <row r="100" spans="1:11" ht="25.5" x14ac:dyDescent="0.2">
      <c r="A100" s="99" t="s">
        <v>261</v>
      </c>
      <c r="B100" s="95" t="s">
        <v>260</v>
      </c>
      <c r="C100" s="69"/>
      <c r="D100" s="69"/>
      <c r="E100" s="70"/>
      <c r="F100" s="70"/>
      <c r="G100" s="70"/>
      <c r="H100" s="8">
        <f t="shared" si="21"/>
        <v>304246.68</v>
      </c>
      <c r="I100" s="8">
        <f>I56</f>
        <v>304246.68</v>
      </c>
      <c r="J100" s="8">
        <f>J56</f>
        <v>0</v>
      </c>
      <c r="K100" s="8">
        <f>K56</f>
        <v>0</v>
      </c>
    </row>
    <row r="101" spans="1:11" ht="25.5" x14ac:dyDescent="0.2">
      <c r="A101" s="186" t="s">
        <v>261</v>
      </c>
      <c r="B101" s="192" t="s">
        <v>263</v>
      </c>
      <c r="C101" s="69"/>
      <c r="D101" s="69"/>
      <c r="E101" s="70"/>
      <c r="F101" s="70"/>
      <c r="G101" s="70"/>
      <c r="H101" s="8">
        <f t="shared" si="21"/>
        <v>262700.5</v>
      </c>
      <c r="I101" s="8">
        <f t="shared" ref="I101:K102" si="25">I22</f>
        <v>262700.5</v>
      </c>
      <c r="J101" s="8">
        <f t="shared" si="25"/>
        <v>0</v>
      </c>
      <c r="K101" s="8">
        <f t="shared" si="25"/>
        <v>0</v>
      </c>
    </row>
    <row r="102" spans="1:11" ht="25.5" x14ac:dyDescent="0.2">
      <c r="A102" s="312" t="s">
        <v>373</v>
      </c>
      <c r="B102" s="192" t="s">
        <v>263</v>
      </c>
      <c r="C102" s="69"/>
      <c r="D102" s="69"/>
      <c r="E102" s="70"/>
      <c r="F102" s="70"/>
      <c r="G102" s="70"/>
      <c r="H102" s="8">
        <f t="shared" si="21"/>
        <v>26007349.760000002</v>
      </c>
      <c r="I102" s="8">
        <f t="shared" si="25"/>
        <v>26007349.760000002</v>
      </c>
      <c r="J102" s="8">
        <f t="shared" si="25"/>
        <v>0</v>
      </c>
      <c r="K102" s="8">
        <f t="shared" si="25"/>
        <v>0</v>
      </c>
    </row>
    <row r="103" spans="1:11" ht="25.5" x14ac:dyDescent="0.2">
      <c r="A103" s="186" t="s">
        <v>261</v>
      </c>
      <c r="B103" s="192" t="s">
        <v>269</v>
      </c>
      <c r="C103" s="69"/>
      <c r="D103" s="69"/>
      <c r="E103" s="70"/>
      <c r="F103" s="70"/>
      <c r="G103" s="70"/>
      <c r="H103" s="8">
        <f t="shared" si="21"/>
        <v>72253.84</v>
      </c>
      <c r="I103" s="8">
        <f>I57</f>
        <v>72253.84</v>
      </c>
      <c r="J103" s="8">
        <f>J57</f>
        <v>0</v>
      </c>
      <c r="K103" s="8">
        <f>K57</f>
        <v>0</v>
      </c>
    </row>
    <row r="104" spans="1:11" ht="25.5" x14ac:dyDescent="0.2">
      <c r="A104" s="186" t="s">
        <v>226</v>
      </c>
      <c r="B104" s="192" t="s">
        <v>364</v>
      </c>
      <c r="C104" s="69"/>
      <c r="D104" s="69"/>
      <c r="E104" s="70"/>
      <c r="F104" s="70"/>
      <c r="G104" s="70"/>
      <c r="H104" s="8">
        <f t="shared" si="21"/>
        <v>0</v>
      </c>
      <c r="I104" s="8">
        <f t="shared" ref="I104:K106" si="26">I50</f>
        <v>0</v>
      </c>
      <c r="J104" s="8">
        <f t="shared" si="26"/>
        <v>0</v>
      </c>
      <c r="K104" s="8">
        <f t="shared" si="26"/>
        <v>0</v>
      </c>
    </row>
    <row r="105" spans="1:11" ht="25.5" x14ac:dyDescent="0.2">
      <c r="A105" s="186" t="s">
        <v>227</v>
      </c>
      <c r="B105" s="192" t="s">
        <v>364</v>
      </c>
      <c r="C105" s="69"/>
      <c r="D105" s="69"/>
      <c r="E105" s="70"/>
      <c r="F105" s="70"/>
      <c r="G105" s="70"/>
      <c r="H105" s="8">
        <f t="shared" si="21"/>
        <v>0</v>
      </c>
      <c r="I105" s="8">
        <f t="shared" si="26"/>
        <v>0</v>
      </c>
      <c r="J105" s="8">
        <f t="shared" si="26"/>
        <v>0</v>
      </c>
      <c r="K105" s="8">
        <f t="shared" si="26"/>
        <v>0</v>
      </c>
    </row>
    <row r="106" spans="1:11" ht="25.5" x14ac:dyDescent="0.2">
      <c r="A106" s="186" t="s">
        <v>228</v>
      </c>
      <c r="B106" s="192" t="s">
        <v>364</v>
      </c>
      <c r="C106" s="69"/>
      <c r="D106" s="69"/>
      <c r="E106" s="70"/>
      <c r="F106" s="70"/>
      <c r="G106" s="70"/>
      <c r="H106" s="8">
        <f t="shared" si="21"/>
        <v>0</v>
      </c>
      <c r="I106" s="8">
        <f t="shared" si="26"/>
        <v>0</v>
      </c>
      <c r="J106" s="8">
        <f t="shared" si="26"/>
        <v>0</v>
      </c>
      <c r="K106" s="8">
        <f t="shared" si="26"/>
        <v>0</v>
      </c>
    </row>
    <row r="107" spans="1:11" ht="25.5" x14ac:dyDescent="0.2">
      <c r="A107" s="186" t="s">
        <v>266</v>
      </c>
      <c r="B107" s="192" t="s">
        <v>381</v>
      </c>
      <c r="C107" s="69"/>
      <c r="D107" s="69"/>
      <c r="E107" s="70"/>
      <c r="F107" s="70"/>
      <c r="G107" s="70"/>
      <c r="H107" s="8">
        <f t="shared" si="21"/>
        <v>4514480.18</v>
      </c>
      <c r="I107" s="8">
        <f t="shared" ref="I107:K108" si="27">I60</f>
        <v>4514480.18</v>
      </c>
      <c r="J107" s="8">
        <f t="shared" si="27"/>
        <v>0</v>
      </c>
      <c r="K107" s="8">
        <f t="shared" si="27"/>
        <v>0</v>
      </c>
    </row>
    <row r="108" spans="1:11" ht="25.5" x14ac:dyDescent="0.2">
      <c r="A108" s="186" t="s">
        <v>371</v>
      </c>
      <c r="B108" s="192" t="s">
        <v>381</v>
      </c>
      <c r="C108" s="69"/>
      <c r="D108" s="69"/>
      <c r="E108" s="70"/>
      <c r="F108" s="70"/>
      <c r="G108" s="70"/>
      <c r="H108" s="8">
        <f>I108+J108+K108</f>
        <v>85775123.340000004</v>
      </c>
      <c r="I108" s="8">
        <f t="shared" si="27"/>
        <v>85775123.340000004</v>
      </c>
      <c r="J108" s="8">
        <f t="shared" si="27"/>
        <v>0</v>
      </c>
      <c r="K108" s="8">
        <f t="shared" si="27"/>
        <v>0</v>
      </c>
    </row>
    <row r="109" spans="1:11" ht="25.5" x14ac:dyDescent="0.2">
      <c r="A109" s="186" t="s">
        <v>266</v>
      </c>
      <c r="B109" s="192" t="s">
        <v>577</v>
      </c>
      <c r="C109" s="69"/>
      <c r="D109" s="69"/>
      <c r="E109" s="70"/>
      <c r="F109" s="70"/>
      <c r="G109" s="70"/>
      <c r="H109" s="8">
        <f>I109+J109+K109</f>
        <v>9367822.4000000004</v>
      </c>
      <c r="I109" s="8">
        <f>I65</f>
        <v>105263.16</v>
      </c>
      <c r="J109" s="8">
        <f>J65</f>
        <v>4105263.16</v>
      </c>
      <c r="K109" s="8">
        <f>K65</f>
        <v>5157296.08</v>
      </c>
    </row>
    <row r="110" spans="1:11" ht="25.5" x14ac:dyDescent="0.2">
      <c r="A110" s="186" t="s">
        <v>592</v>
      </c>
      <c r="B110" s="192" t="s">
        <v>577</v>
      </c>
      <c r="C110" s="69"/>
      <c r="D110" s="69"/>
      <c r="E110" s="70"/>
      <c r="F110" s="70"/>
      <c r="G110" s="70"/>
      <c r="H110" s="8">
        <f>I110+J110+K110</f>
        <v>177988625.43000001</v>
      </c>
      <c r="I110" s="8">
        <f>I66</f>
        <v>2000000</v>
      </c>
      <c r="J110" s="8">
        <f t="shared" ref="J110:K110" si="28">J66</f>
        <v>78000000</v>
      </c>
      <c r="K110" s="8">
        <f t="shared" si="28"/>
        <v>97988625.430000007</v>
      </c>
    </row>
    <row r="111" spans="1:11" ht="25.5" x14ac:dyDescent="0.2">
      <c r="A111" s="336" t="s">
        <v>257</v>
      </c>
      <c r="B111" s="311" t="s">
        <v>258</v>
      </c>
      <c r="C111" s="320"/>
      <c r="D111" s="69"/>
      <c r="E111" s="70"/>
      <c r="F111" s="70"/>
      <c r="G111" s="70"/>
      <c r="H111" s="8">
        <f t="shared" si="21"/>
        <v>4063211.7800000003</v>
      </c>
      <c r="I111" s="8">
        <f>I79+I71</f>
        <v>4063211.7800000003</v>
      </c>
      <c r="J111" s="8">
        <f>J79+J71</f>
        <v>0</v>
      </c>
      <c r="K111" s="8">
        <f>K79+K71</f>
        <v>0</v>
      </c>
    </row>
    <row r="112" spans="1:11" ht="25.5" x14ac:dyDescent="0.2">
      <c r="A112" s="186" t="s">
        <v>253</v>
      </c>
      <c r="B112" s="95" t="s">
        <v>255</v>
      </c>
      <c r="C112" s="69"/>
      <c r="D112" s="69"/>
      <c r="E112" s="70"/>
      <c r="F112" s="70"/>
      <c r="G112" s="70"/>
      <c r="H112" s="8">
        <f t="shared" si="21"/>
        <v>2719339.16</v>
      </c>
      <c r="I112" s="8">
        <f t="shared" ref="I112:K113" si="29">I72+I80</f>
        <v>2719339.16</v>
      </c>
      <c r="J112" s="8">
        <f t="shared" si="29"/>
        <v>0</v>
      </c>
      <c r="K112" s="8">
        <f t="shared" si="29"/>
        <v>0</v>
      </c>
    </row>
    <row r="113" spans="1:14" ht="25.5" x14ac:dyDescent="0.2">
      <c r="A113" s="186" t="s">
        <v>293</v>
      </c>
      <c r="B113" s="192" t="s">
        <v>255</v>
      </c>
      <c r="C113" s="69"/>
      <c r="D113" s="69"/>
      <c r="E113" s="70"/>
      <c r="F113" s="70"/>
      <c r="G113" s="70"/>
      <c r="H113" s="8">
        <f t="shared" si="21"/>
        <v>231544280.66</v>
      </c>
      <c r="I113" s="8">
        <f t="shared" si="29"/>
        <v>231544280.66</v>
      </c>
      <c r="J113" s="8">
        <f t="shared" si="29"/>
        <v>0</v>
      </c>
      <c r="K113" s="8">
        <f t="shared" si="29"/>
        <v>0</v>
      </c>
    </row>
    <row r="114" spans="1:14" ht="25.5" x14ac:dyDescent="0.2">
      <c r="A114" s="186" t="s">
        <v>292</v>
      </c>
      <c r="B114" s="192" t="s">
        <v>295</v>
      </c>
      <c r="C114" s="69"/>
      <c r="D114" s="69"/>
      <c r="E114" s="70"/>
      <c r="F114" s="70"/>
      <c r="G114" s="70"/>
      <c r="H114" s="8">
        <f t="shared" si="21"/>
        <v>35307859.310000002</v>
      </c>
      <c r="I114" s="8">
        <f>I74+I82</f>
        <v>35307859.310000002</v>
      </c>
      <c r="J114" s="8">
        <f>J74</f>
        <v>0</v>
      </c>
      <c r="K114" s="8">
        <f>K74+K82</f>
        <v>0</v>
      </c>
    </row>
    <row r="115" spans="1:14" ht="26.25" thickBot="1" x14ac:dyDescent="0.25">
      <c r="A115" s="440" t="s">
        <v>581</v>
      </c>
      <c r="B115" s="418" t="s">
        <v>580</v>
      </c>
      <c r="C115" s="436"/>
      <c r="D115" s="436"/>
      <c r="E115" s="437"/>
      <c r="F115" s="437"/>
      <c r="G115" s="437"/>
      <c r="H115" s="26">
        <f t="shared" si="21"/>
        <v>2569000</v>
      </c>
      <c r="I115" s="26">
        <f>I85</f>
        <v>2569000</v>
      </c>
      <c r="J115" s="26">
        <f>J85</f>
        <v>0</v>
      </c>
      <c r="K115" s="26">
        <f>K85</f>
        <v>0</v>
      </c>
    </row>
    <row r="116" spans="1:14" ht="21" customHeight="1" thickBot="1" x14ac:dyDescent="0.25">
      <c r="A116" s="498" t="s">
        <v>211</v>
      </c>
      <c r="B116" s="498"/>
      <c r="C116" s="498"/>
      <c r="D116" s="498"/>
      <c r="E116" s="498"/>
      <c r="F116" s="498"/>
      <c r="G116" s="498"/>
      <c r="H116" s="498"/>
      <c r="I116" s="498"/>
      <c r="J116" s="498"/>
      <c r="K116" s="498"/>
    </row>
    <row r="117" spans="1:14" ht="40.5" customHeight="1" thickBot="1" x14ac:dyDescent="0.25">
      <c r="A117" s="10" t="s">
        <v>87</v>
      </c>
      <c r="B117" s="48"/>
      <c r="C117" s="274"/>
      <c r="D117" s="274"/>
      <c r="E117" s="274"/>
      <c r="F117" s="274"/>
      <c r="G117" s="274"/>
      <c r="H117" s="275">
        <f t="shared" ref="H117:H296" si="30">I117+J117+K117</f>
        <v>560487105.72000003</v>
      </c>
      <c r="I117" s="275">
        <f>I118+I169</f>
        <v>443977085.65999997</v>
      </c>
      <c r="J117" s="275">
        <f>J118+J169</f>
        <v>116510020.06</v>
      </c>
      <c r="K117" s="275">
        <f>K118+K169</f>
        <v>0</v>
      </c>
    </row>
    <row r="118" spans="1:14" ht="43.5" customHeight="1" thickBot="1" x14ac:dyDescent="0.25">
      <c r="A118" s="55" t="s">
        <v>61</v>
      </c>
      <c r="B118" s="48"/>
      <c r="C118" s="274"/>
      <c r="D118" s="274"/>
      <c r="E118" s="274"/>
      <c r="F118" s="274"/>
      <c r="G118" s="274"/>
      <c r="H118" s="272">
        <f t="shared" si="30"/>
        <v>443977085.65999997</v>
      </c>
      <c r="I118" s="272">
        <f>I119+I124+I129+I134+I139+I145+I142+I148+I151+I154+I159+I164</f>
        <v>443977085.65999997</v>
      </c>
      <c r="J118" s="272">
        <f t="shared" ref="J118:K118" si="31">J119+J124+J129+J134+J139+J145+J142+J148+J151+J154+J159+J164</f>
        <v>0</v>
      </c>
      <c r="K118" s="272">
        <f t="shared" si="31"/>
        <v>0</v>
      </c>
      <c r="L118" s="3">
        <f>H119+H124+H129+H134+H139+H145+H142+H148+H151+H154+H159+H164</f>
        <v>443977085.65999997</v>
      </c>
    </row>
    <row r="119" spans="1:14" ht="159.75" customHeight="1" x14ac:dyDescent="0.2">
      <c r="A119" s="134" t="s">
        <v>36</v>
      </c>
      <c r="B119" s="34" t="s">
        <v>119</v>
      </c>
      <c r="C119" s="89" t="s">
        <v>55</v>
      </c>
      <c r="D119" s="89" t="s">
        <v>109</v>
      </c>
      <c r="E119" s="107">
        <v>97898996.030000001</v>
      </c>
      <c r="F119" s="249">
        <v>29369698.510000002</v>
      </c>
      <c r="G119" s="249">
        <f>E119-F119</f>
        <v>68529297.519999996</v>
      </c>
      <c r="H119" s="40">
        <f t="shared" si="30"/>
        <v>68529296.519999996</v>
      </c>
      <c r="I119" s="40">
        <f>SUM(I120:I121)</f>
        <v>68529296.519999996</v>
      </c>
      <c r="J119" s="40">
        <f>SUM(J120)</f>
        <v>0</v>
      </c>
      <c r="K119" s="40">
        <f>SUM(K120)</f>
        <v>0</v>
      </c>
      <c r="L119" s="52"/>
    </row>
    <row r="120" spans="1:14" ht="25.5" x14ac:dyDescent="0.2">
      <c r="A120" s="186" t="s">
        <v>272</v>
      </c>
      <c r="B120" s="192" t="s">
        <v>285</v>
      </c>
      <c r="C120" s="154"/>
      <c r="D120" s="154"/>
      <c r="E120" s="152"/>
      <c r="F120" s="191"/>
      <c r="G120" s="191"/>
      <c r="H120" s="27">
        <f t="shared" si="30"/>
        <v>3426464.83</v>
      </c>
      <c r="I120" s="27">
        <v>3426464.83</v>
      </c>
      <c r="J120" s="27"/>
      <c r="K120" s="27"/>
      <c r="L120" s="52"/>
    </row>
    <row r="121" spans="1:14" ht="25.5" x14ac:dyDescent="0.2">
      <c r="A121" s="186" t="s">
        <v>389</v>
      </c>
      <c r="B121" s="192" t="s">
        <v>395</v>
      </c>
      <c r="C121" s="113"/>
      <c r="D121" s="113"/>
      <c r="E121" s="108"/>
      <c r="F121" s="291"/>
      <c r="G121" s="291"/>
      <c r="H121" s="27">
        <f t="shared" si="30"/>
        <v>65102831.689999998</v>
      </c>
      <c r="I121" s="27">
        <v>65102831.689999998</v>
      </c>
      <c r="J121" s="27"/>
      <c r="K121" s="27"/>
      <c r="L121" s="52"/>
    </row>
    <row r="122" spans="1:14" ht="39.75" customHeight="1" x14ac:dyDescent="0.2">
      <c r="A122" s="9" t="s">
        <v>170</v>
      </c>
      <c r="B122" s="5"/>
      <c r="C122" s="99"/>
      <c r="D122" s="99"/>
      <c r="E122" s="254"/>
      <c r="F122" s="225"/>
      <c r="G122" s="225"/>
      <c r="H122" s="252">
        <f t="shared" si="30"/>
        <v>1468484.93</v>
      </c>
      <c r="I122" s="255">
        <v>1468484.93</v>
      </c>
      <c r="J122" s="27"/>
      <c r="K122" s="27"/>
      <c r="L122" s="52"/>
    </row>
    <row r="123" spans="1:14" ht="41.25" customHeight="1" thickBot="1" x14ac:dyDescent="0.25">
      <c r="A123" s="16" t="s">
        <v>171</v>
      </c>
      <c r="B123" s="6"/>
      <c r="C123" s="90"/>
      <c r="D123" s="90"/>
      <c r="E123" s="90"/>
      <c r="F123" s="210"/>
      <c r="G123" s="210"/>
      <c r="H123" s="253">
        <f t="shared" si="30"/>
        <v>27901213.579999998</v>
      </c>
      <c r="I123" s="253">
        <v>27901213.579999998</v>
      </c>
      <c r="J123" s="29"/>
      <c r="K123" s="29"/>
      <c r="L123" s="52"/>
      <c r="M123" s="52"/>
    </row>
    <row r="124" spans="1:14" ht="156.75" customHeight="1" x14ac:dyDescent="0.2">
      <c r="A124" s="134" t="s">
        <v>243</v>
      </c>
      <c r="B124" s="34" t="s">
        <v>119</v>
      </c>
      <c r="C124" s="89" t="s">
        <v>56</v>
      </c>
      <c r="D124" s="89" t="s">
        <v>109</v>
      </c>
      <c r="E124" s="107">
        <v>102207008.89</v>
      </c>
      <c r="F124" s="249">
        <v>30662102.670000002</v>
      </c>
      <c r="G124" s="249">
        <f>E124-F124</f>
        <v>71544906.219999999</v>
      </c>
      <c r="H124" s="40">
        <f t="shared" si="30"/>
        <v>71544906.219999999</v>
      </c>
      <c r="I124" s="40">
        <f>SUM(I125:I126)</f>
        <v>71544906.219999999</v>
      </c>
      <c r="J124" s="40">
        <f>SUM(J125)</f>
        <v>0</v>
      </c>
      <c r="K124" s="40">
        <f>SUM(K125)</f>
        <v>0</v>
      </c>
      <c r="L124" s="52"/>
    </row>
    <row r="125" spans="1:14" ht="25.5" x14ac:dyDescent="0.2">
      <c r="A125" s="186" t="s">
        <v>272</v>
      </c>
      <c r="B125" s="192" t="s">
        <v>400</v>
      </c>
      <c r="C125" s="113"/>
      <c r="D125" s="113"/>
      <c r="E125" s="108"/>
      <c r="F125" s="291"/>
      <c r="G125" s="291"/>
      <c r="H125" s="27">
        <f t="shared" si="30"/>
        <v>3577245.31</v>
      </c>
      <c r="I125" s="27">
        <v>3577245.31</v>
      </c>
      <c r="J125" s="27"/>
      <c r="K125" s="27"/>
      <c r="L125" s="52"/>
    </row>
    <row r="126" spans="1:14" ht="25.5" x14ac:dyDescent="0.2">
      <c r="A126" s="186" t="s">
        <v>389</v>
      </c>
      <c r="B126" s="192" t="s">
        <v>396</v>
      </c>
      <c r="C126" s="113"/>
      <c r="D126" s="113"/>
      <c r="E126" s="108"/>
      <c r="F126" s="291"/>
      <c r="G126" s="291"/>
      <c r="H126" s="27">
        <f t="shared" si="30"/>
        <v>67967660.909999996</v>
      </c>
      <c r="I126" s="27">
        <v>67967660.909999996</v>
      </c>
      <c r="J126" s="27"/>
      <c r="K126" s="27"/>
      <c r="L126" s="52"/>
    </row>
    <row r="127" spans="1:14" ht="38.25" x14ac:dyDescent="0.2">
      <c r="A127" s="75" t="s">
        <v>170</v>
      </c>
      <c r="B127" s="334"/>
      <c r="C127" s="331"/>
      <c r="D127" s="331"/>
      <c r="E127" s="226"/>
      <c r="F127" s="199"/>
      <c r="G127" s="199"/>
      <c r="H127" s="256">
        <f t="shared" si="30"/>
        <v>1533105.14</v>
      </c>
      <c r="I127" s="256">
        <v>1533105.14</v>
      </c>
      <c r="J127" s="257"/>
      <c r="K127" s="257"/>
      <c r="L127" s="52"/>
    </row>
    <row r="128" spans="1:14" ht="39" thickBot="1" x14ac:dyDescent="0.25">
      <c r="A128" s="16" t="s">
        <v>171</v>
      </c>
      <c r="B128" s="204"/>
      <c r="C128" s="210"/>
      <c r="D128" s="210"/>
      <c r="E128" s="210"/>
      <c r="F128" s="210"/>
      <c r="G128" s="210"/>
      <c r="H128" s="258">
        <f t="shared" si="30"/>
        <v>29128997.530000001</v>
      </c>
      <c r="I128" s="258">
        <v>29128997.530000001</v>
      </c>
      <c r="J128" s="259"/>
      <c r="K128" s="259"/>
      <c r="L128" s="52"/>
      <c r="M128" s="52"/>
      <c r="N128" s="52"/>
    </row>
    <row r="129" spans="1:14" ht="119.25" customHeight="1" x14ac:dyDescent="0.2">
      <c r="A129" s="94" t="s">
        <v>1</v>
      </c>
      <c r="B129" s="34" t="s">
        <v>119</v>
      </c>
      <c r="C129" s="89" t="s">
        <v>508</v>
      </c>
      <c r="D129" s="89" t="s">
        <v>109</v>
      </c>
      <c r="E129" s="107">
        <v>41116065.280000001</v>
      </c>
      <c r="F129" s="249">
        <v>12334819.59</v>
      </c>
      <c r="G129" s="249">
        <f>E129-F129</f>
        <v>28781245.690000001</v>
      </c>
      <c r="H129" s="40">
        <f t="shared" si="30"/>
        <v>28781245.699999999</v>
      </c>
      <c r="I129" s="40">
        <f>SUM(I130:I131)</f>
        <v>28781245.699999999</v>
      </c>
      <c r="J129" s="40">
        <f>SUM(J130)</f>
        <v>0</v>
      </c>
      <c r="K129" s="40">
        <f>SUM(K130)</f>
        <v>0</v>
      </c>
      <c r="L129" s="52"/>
      <c r="M129" s="52"/>
      <c r="N129" s="52"/>
    </row>
    <row r="130" spans="1:14" ht="25.5" x14ac:dyDescent="0.2">
      <c r="A130" s="186" t="s">
        <v>272</v>
      </c>
      <c r="B130" s="192" t="s">
        <v>275</v>
      </c>
      <c r="C130" s="113"/>
      <c r="D130" s="113"/>
      <c r="E130" s="108"/>
      <c r="F130" s="291"/>
      <c r="G130" s="291"/>
      <c r="H130" s="27">
        <f t="shared" si="30"/>
        <v>1439062.29</v>
      </c>
      <c r="I130" s="27">
        <v>1439062.29</v>
      </c>
      <c r="J130" s="27"/>
      <c r="K130" s="27"/>
      <c r="L130" s="52"/>
      <c r="M130" s="52"/>
      <c r="N130" s="52"/>
    </row>
    <row r="131" spans="1:14" ht="25.5" x14ac:dyDescent="0.2">
      <c r="A131" s="186" t="s">
        <v>389</v>
      </c>
      <c r="B131" s="192" t="s">
        <v>391</v>
      </c>
      <c r="C131" s="113"/>
      <c r="D131" s="113"/>
      <c r="E131" s="108"/>
      <c r="F131" s="291"/>
      <c r="G131" s="291"/>
      <c r="H131" s="27">
        <f t="shared" si="30"/>
        <v>27342183.41</v>
      </c>
      <c r="I131" s="27">
        <v>27342183.41</v>
      </c>
      <c r="J131" s="27"/>
      <c r="K131" s="27"/>
      <c r="L131" s="52"/>
      <c r="M131" s="52"/>
      <c r="N131" s="52"/>
    </row>
    <row r="132" spans="1:14" ht="38.25" x14ac:dyDescent="0.2">
      <c r="A132" s="75" t="s">
        <v>170</v>
      </c>
      <c r="B132" s="330"/>
      <c r="C132" s="331"/>
      <c r="D132" s="331"/>
      <c r="E132" s="331"/>
      <c r="F132" s="331"/>
      <c r="G132" s="331"/>
      <c r="H132" s="251">
        <f t="shared" si="30"/>
        <v>616740.98</v>
      </c>
      <c r="I132" s="251">
        <v>616740.98</v>
      </c>
      <c r="J132" s="260"/>
      <c r="K132" s="260"/>
      <c r="L132" s="52"/>
      <c r="M132" s="52"/>
      <c r="N132" s="52"/>
    </row>
    <row r="133" spans="1:14" ht="39" thickBot="1" x14ac:dyDescent="0.25">
      <c r="A133" s="16" t="s">
        <v>171</v>
      </c>
      <c r="B133" s="204"/>
      <c r="C133" s="213"/>
      <c r="D133" s="213"/>
      <c r="E133" s="213"/>
      <c r="F133" s="213"/>
      <c r="G133" s="213"/>
      <c r="H133" s="253">
        <f t="shared" si="30"/>
        <v>11718078.609999999</v>
      </c>
      <c r="I133" s="253">
        <v>11718078.609999999</v>
      </c>
      <c r="J133" s="29"/>
      <c r="K133" s="29"/>
      <c r="L133" s="52"/>
      <c r="M133" s="52"/>
      <c r="N133" s="52"/>
    </row>
    <row r="134" spans="1:14" ht="80.25" customHeight="1" x14ac:dyDescent="0.2">
      <c r="A134" s="94" t="s">
        <v>244</v>
      </c>
      <c r="B134" s="34" t="s">
        <v>119</v>
      </c>
      <c r="C134" s="89" t="s">
        <v>510</v>
      </c>
      <c r="D134" s="89" t="s">
        <v>109</v>
      </c>
      <c r="E134" s="107">
        <v>80230429.609999999</v>
      </c>
      <c r="F134" s="249">
        <v>24069128.879999999</v>
      </c>
      <c r="G134" s="249">
        <f>E134-F134</f>
        <v>56161300.730000004</v>
      </c>
      <c r="H134" s="40">
        <f t="shared" si="30"/>
        <v>56161300.729999997</v>
      </c>
      <c r="I134" s="40">
        <f>SUM(I135:I136)</f>
        <v>56161300.729999997</v>
      </c>
      <c r="J134" s="40">
        <f>SUM(J135)</f>
        <v>0</v>
      </c>
      <c r="K134" s="40">
        <f>SUM(K135)</f>
        <v>0</v>
      </c>
      <c r="L134" s="52"/>
      <c r="M134" s="52"/>
      <c r="N134" s="52"/>
    </row>
    <row r="135" spans="1:14" ht="25.5" x14ac:dyDescent="0.2">
      <c r="A135" s="186" t="s">
        <v>272</v>
      </c>
      <c r="B135" s="192" t="s">
        <v>280</v>
      </c>
      <c r="C135" s="113"/>
      <c r="D135" s="113"/>
      <c r="E135" s="108"/>
      <c r="F135" s="291"/>
      <c r="G135" s="291"/>
      <c r="H135" s="27">
        <f t="shared" si="30"/>
        <v>2808065.04</v>
      </c>
      <c r="I135" s="27">
        <v>2808065.04</v>
      </c>
      <c r="J135" s="27"/>
      <c r="K135" s="27"/>
      <c r="L135" s="52"/>
      <c r="M135" s="52"/>
      <c r="N135" s="52"/>
    </row>
    <row r="136" spans="1:14" ht="25.5" x14ac:dyDescent="0.2">
      <c r="A136" s="186" t="s">
        <v>389</v>
      </c>
      <c r="B136" s="192" t="s">
        <v>393</v>
      </c>
      <c r="C136" s="154"/>
      <c r="D136" s="154"/>
      <c r="E136" s="152"/>
      <c r="F136" s="191"/>
      <c r="G136" s="191"/>
      <c r="H136" s="27">
        <f t="shared" si="30"/>
        <v>53353235.689999998</v>
      </c>
      <c r="I136" s="27">
        <v>53353235.689999998</v>
      </c>
      <c r="J136" s="27"/>
      <c r="K136" s="27"/>
      <c r="L136" s="52"/>
      <c r="M136" s="52"/>
      <c r="N136" s="52"/>
    </row>
    <row r="137" spans="1:14" ht="38.25" x14ac:dyDescent="0.2">
      <c r="A137" s="75" t="s">
        <v>170</v>
      </c>
      <c r="B137" s="330"/>
      <c r="C137" s="331"/>
      <c r="D137" s="331"/>
      <c r="E137" s="331"/>
      <c r="F137" s="331"/>
      <c r="G137" s="331"/>
      <c r="H137" s="251">
        <f t="shared" si="30"/>
        <v>1203456.44</v>
      </c>
      <c r="I137" s="251">
        <v>1203456.44</v>
      </c>
      <c r="J137" s="260"/>
      <c r="K137" s="260"/>
      <c r="L137" s="52"/>
      <c r="M137" s="52"/>
      <c r="N137" s="52"/>
    </row>
    <row r="138" spans="1:14" ht="39" thickBot="1" x14ac:dyDescent="0.25">
      <c r="A138" s="16" t="s">
        <v>171</v>
      </c>
      <c r="B138" s="204"/>
      <c r="C138" s="210"/>
      <c r="D138" s="210"/>
      <c r="E138" s="210"/>
      <c r="F138" s="210"/>
      <c r="G138" s="210"/>
      <c r="H138" s="253">
        <f t="shared" si="30"/>
        <v>22865672.440000001</v>
      </c>
      <c r="I138" s="253">
        <v>22865672.440000001</v>
      </c>
      <c r="J138" s="29"/>
      <c r="K138" s="29"/>
      <c r="L138" s="52"/>
      <c r="M138" s="52"/>
      <c r="N138" s="52"/>
    </row>
    <row r="139" spans="1:14" ht="92.25" customHeight="1" x14ac:dyDescent="0.2">
      <c r="A139" s="94" t="s">
        <v>270</v>
      </c>
      <c r="B139" s="34" t="s">
        <v>119</v>
      </c>
      <c r="C139" s="289" t="s">
        <v>271</v>
      </c>
      <c r="D139" s="289" t="s">
        <v>109</v>
      </c>
      <c r="E139" s="249">
        <f>F139+G139</f>
        <v>22719873.950000003</v>
      </c>
      <c r="F139" s="249">
        <v>19268694.010000002</v>
      </c>
      <c r="G139" s="249">
        <v>3451179.94</v>
      </c>
      <c r="H139" s="40">
        <f t="shared" si="30"/>
        <v>3451179.94</v>
      </c>
      <c r="I139" s="40">
        <f>SUM(I140:I141)</f>
        <v>3451179.94</v>
      </c>
      <c r="J139" s="40">
        <f>SUM(J140)</f>
        <v>0</v>
      </c>
      <c r="K139" s="40">
        <f>SUM(K140)</f>
        <v>0</v>
      </c>
      <c r="L139" s="52"/>
      <c r="M139" s="52"/>
      <c r="N139" s="52"/>
    </row>
    <row r="140" spans="1:14" ht="25.5" x14ac:dyDescent="0.2">
      <c r="A140" s="186" t="s">
        <v>272</v>
      </c>
      <c r="B140" s="192" t="s">
        <v>273</v>
      </c>
      <c r="C140" s="328"/>
      <c r="D140" s="328"/>
      <c r="E140" s="328"/>
      <c r="F140" s="328"/>
      <c r="G140" s="328"/>
      <c r="H140" s="27">
        <f t="shared" si="30"/>
        <v>172559</v>
      </c>
      <c r="I140" s="27">
        <v>172559</v>
      </c>
      <c r="J140" s="27"/>
      <c r="K140" s="27"/>
      <c r="L140" s="52"/>
      <c r="M140" s="52"/>
      <c r="N140" s="52"/>
    </row>
    <row r="141" spans="1:14" ht="26.25" thickBot="1" x14ac:dyDescent="0.25">
      <c r="A141" s="186" t="s">
        <v>389</v>
      </c>
      <c r="B141" s="192" t="s">
        <v>390</v>
      </c>
      <c r="C141" s="370"/>
      <c r="D141" s="370"/>
      <c r="E141" s="370"/>
      <c r="F141" s="370"/>
      <c r="G141" s="370"/>
      <c r="H141" s="27">
        <f t="shared" si="30"/>
        <v>3278620.94</v>
      </c>
      <c r="I141" s="260">
        <v>3278620.94</v>
      </c>
      <c r="J141" s="260"/>
      <c r="K141" s="260"/>
      <c r="L141" s="52"/>
      <c r="M141" s="52"/>
      <c r="N141" s="52"/>
    </row>
    <row r="142" spans="1:14" ht="102" x14ac:dyDescent="0.2">
      <c r="A142" s="94" t="s">
        <v>282</v>
      </c>
      <c r="B142" s="34" t="s">
        <v>119</v>
      </c>
      <c r="C142" s="289" t="s">
        <v>506</v>
      </c>
      <c r="D142" s="289" t="s">
        <v>109</v>
      </c>
      <c r="E142" s="249">
        <f>F142+G142</f>
        <v>42757066.140000001</v>
      </c>
      <c r="F142" s="249">
        <v>21778689.93</v>
      </c>
      <c r="G142" s="249">
        <v>20978376.210000001</v>
      </c>
      <c r="H142" s="40">
        <f t="shared" si="30"/>
        <v>20978376.209999997</v>
      </c>
      <c r="I142" s="40">
        <f>SUM(I143:I144)</f>
        <v>20978376.209999997</v>
      </c>
      <c r="J142" s="40">
        <f t="shared" ref="J142:K142" si="32">SUM(J143:J144)</f>
        <v>0</v>
      </c>
      <c r="K142" s="40">
        <f t="shared" si="32"/>
        <v>0</v>
      </c>
      <c r="L142" s="52"/>
      <c r="M142" s="52"/>
      <c r="N142" s="52"/>
    </row>
    <row r="143" spans="1:14" ht="25.5" x14ac:dyDescent="0.2">
      <c r="A143" s="186" t="s">
        <v>272</v>
      </c>
      <c r="B143" s="192" t="s">
        <v>283</v>
      </c>
      <c r="C143" s="328"/>
      <c r="D143" s="328"/>
      <c r="E143" s="328"/>
      <c r="F143" s="328"/>
      <c r="G143" s="328"/>
      <c r="H143" s="27">
        <f t="shared" si="30"/>
        <v>1048918.81</v>
      </c>
      <c r="I143" s="27">
        <v>1048918.81</v>
      </c>
      <c r="J143" s="27"/>
      <c r="K143" s="27"/>
      <c r="L143" s="52"/>
      <c r="M143" s="52"/>
      <c r="N143" s="52"/>
    </row>
    <row r="144" spans="1:14" ht="25.5" x14ac:dyDescent="0.2">
      <c r="A144" s="186" t="s">
        <v>389</v>
      </c>
      <c r="B144" s="192" t="s">
        <v>394</v>
      </c>
      <c r="C144" s="328"/>
      <c r="D144" s="328"/>
      <c r="E144" s="328"/>
      <c r="F144" s="328"/>
      <c r="G144" s="328"/>
      <c r="H144" s="27">
        <f t="shared" si="30"/>
        <v>19929457.399999999</v>
      </c>
      <c r="I144" s="27">
        <v>19929457.399999999</v>
      </c>
      <c r="J144" s="27"/>
      <c r="K144" s="27"/>
      <c r="L144" s="52"/>
      <c r="M144" s="52"/>
      <c r="N144" s="52"/>
    </row>
    <row r="145" spans="1:14" ht="106.5" customHeight="1" x14ac:dyDescent="0.2">
      <c r="A145" s="135" t="s">
        <v>277</v>
      </c>
      <c r="B145" s="24" t="s">
        <v>119</v>
      </c>
      <c r="C145" s="357" t="s">
        <v>509</v>
      </c>
      <c r="D145" s="357" t="s">
        <v>109</v>
      </c>
      <c r="E145" s="191">
        <v>29779877.280000001</v>
      </c>
      <c r="F145" s="191">
        <v>20875651.100000001</v>
      </c>
      <c r="G145" s="191">
        <f>E145-F145</f>
        <v>8904226.1799999997</v>
      </c>
      <c r="H145" s="28">
        <f t="shared" si="30"/>
        <v>8904226.1799999997</v>
      </c>
      <c r="I145" s="28">
        <f>SUM(I146:I147)</f>
        <v>8904226.1799999997</v>
      </c>
      <c r="J145" s="28">
        <f t="shared" ref="J145:K145" si="33">SUM(J146:J147)</f>
        <v>0</v>
      </c>
      <c r="K145" s="28">
        <f t="shared" si="33"/>
        <v>0</v>
      </c>
      <c r="L145" s="52"/>
      <c r="M145" s="52"/>
      <c r="N145" s="52"/>
    </row>
    <row r="146" spans="1:14" ht="25.5" x14ac:dyDescent="0.2">
      <c r="A146" s="312" t="s">
        <v>272</v>
      </c>
      <c r="B146" s="313" t="s">
        <v>278</v>
      </c>
      <c r="C146" s="371"/>
      <c r="D146" s="371"/>
      <c r="E146" s="371"/>
      <c r="F146" s="371"/>
      <c r="G146" s="371"/>
      <c r="H146" s="333">
        <f t="shared" si="30"/>
        <v>445211.31</v>
      </c>
      <c r="I146" s="333">
        <v>445211.31</v>
      </c>
      <c r="J146" s="333"/>
      <c r="K146" s="333"/>
      <c r="L146" s="52"/>
      <c r="M146" s="52"/>
      <c r="N146" s="52"/>
    </row>
    <row r="147" spans="1:14" ht="26.25" thickBot="1" x14ac:dyDescent="0.25">
      <c r="A147" s="188" t="s">
        <v>389</v>
      </c>
      <c r="B147" s="314" t="s">
        <v>392</v>
      </c>
      <c r="C147" s="329"/>
      <c r="D147" s="329"/>
      <c r="E147" s="329"/>
      <c r="F147" s="329"/>
      <c r="G147" s="329"/>
      <c r="H147" s="29">
        <f t="shared" si="30"/>
        <v>8459014.8699999992</v>
      </c>
      <c r="I147" s="29">
        <v>8459014.8699999992</v>
      </c>
      <c r="J147" s="29"/>
      <c r="K147" s="29"/>
      <c r="L147" s="52"/>
      <c r="M147" s="52"/>
      <c r="N147" s="52"/>
    </row>
    <row r="148" spans="1:14" ht="120.75" customHeight="1" x14ac:dyDescent="0.2">
      <c r="A148" s="381" t="s">
        <v>288</v>
      </c>
      <c r="B148" s="382" t="s">
        <v>119</v>
      </c>
      <c r="C148" s="383" t="s">
        <v>507</v>
      </c>
      <c r="D148" s="383" t="s">
        <v>109</v>
      </c>
      <c r="E148" s="384">
        <f>F148+G148</f>
        <v>162698239.62</v>
      </c>
      <c r="F148" s="384">
        <v>159911685.46000001</v>
      </c>
      <c r="G148" s="384">
        <v>2786554.16</v>
      </c>
      <c r="H148" s="40">
        <f t="shared" si="30"/>
        <v>2786554.16</v>
      </c>
      <c r="I148" s="40">
        <f>SUM(I149:I150)</f>
        <v>2786554.16</v>
      </c>
      <c r="J148" s="40">
        <f>SUM(J149)</f>
        <v>0</v>
      </c>
      <c r="K148" s="40">
        <f>SUM(K149)</f>
        <v>0</v>
      </c>
      <c r="L148" s="52"/>
      <c r="M148" s="52"/>
      <c r="N148" s="52"/>
    </row>
    <row r="149" spans="1:14" ht="25.5" x14ac:dyDescent="0.2">
      <c r="A149" s="186" t="s">
        <v>272</v>
      </c>
      <c r="B149" s="192" t="s">
        <v>289</v>
      </c>
      <c r="C149" s="328"/>
      <c r="D149" s="328"/>
      <c r="E149" s="328"/>
      <c r="F149" s="328"/>
      <c r="G149" s="328"/>
      <c r="H149" s="27">
        <f t="shared" si="30"/>
        <v>139327.71</v>
      </c>
      <c r="I149" s="27">
        <v>139327.71</v>
      </c>
      <c r="J149" s="27"/>
      <c r="K149" s="27"/>
      <c r="L149" s="52"/>
      <c r="M149" s="52"/>
      <c r="N149" s="52"/>
    </row>
    <row r="150" spans="1:14" ht="26.25" thickBot="1" x14ac:dyDescent="0.25">
      <c r="A150" s="188" t="s">
        <v>389</v>
      </c>
      <c r="B150" s="314" t="s">
        <v>397</v>
      </c>
      <c r="C150" s="329"/>
      <c r="D150" s="329"/>
      <c r="E150" s="329"/>
      <c r="F150" s="329"/>
      <c r="G150" s="329"/>
      <c r="H150" s="29">
        <f t="shared" si="30"/>
        <v>2647226.4500000002</v>
      </c>
      <c r="I150" s="29">
        <v>2647226.4500000002</v>
      </c>
      <c r="J150" s="29"/>
      <c r="K150" s="29"/>
      <c r="L150" s="52"/>
      <c r="M150" s="52"/>
      <c r="N150" s="52"/>
    </row>
    <row r="151" spans="1:14" ht="63.75" x14ac:dyDescent="0.2">
      <c r="A151" s="338" t="s">
        <v>465</v>
      </c>
      <c r="B151" s="362" t="s">
        <v>119</v>
      </c>
      <c r="C151" s="322" t="s">
        <v>464</v>
      </c>
      <c r="D151" s="112" t="s">
        <v>109</v>
      </c>
      <c r="E151" s="107">
        <v>305429341.56999999</v>
      </c>
      <c r="F151" s="107">
        <v>1529341.57</v>
      </c>
      <c r="G151" s="107">
        <f>E151-F151</f>
        <v>303900000</v>
      </c>
      <c r="H151" s="28">
        <f t="shared" si="30"/>
        <v>60780000</v>
      </c>
      <c r="I151" s="191">
        <f>SUM(I152:I153)</f>
        <v>60780000</v>
      </c>
      <c r="J151" s="28">
        <f>SUM(J152)</f>
        <v>0</v>
      </c>
      <c r="K151" s="28">
        <f>SUM(K152)</f>
        <v>0</v>
      </c>
      <c r="L151" s="52"/>
      <c r="M151" s="52"/>
      <c r="N151" s="52"/>
    </row>
    <row r="152" spans="1:14" ht="25.5" x14ac:dyDescent="0.2">
      <c r="A152" s="312" t="s">
        <v>272</v>
      </c>
      <c r="B152" s="192" t="s">
        <v>398</v>
      </c>
      <c r="C152" s="328"/>
      <c r="D152" s="328"/>
      <c r="E152" s="328"/>
      <c r="F152" s="328"/>
      <c r="G152" s="328"/>
      <c r="H152" s="333">
        <f t="shared" si="30"/>
        <v>3039000</v>
      </c>
      <c r="I152" s="333">
        <v>3039000</v>
      </c>
      <c r="J152" s="333"/>
      <c r="K152" s="333"/>
      <c r="L152" s="52"/>
      <c r="M152" s="52"/>
      <c r="N152" s="52"/>
    </row>
    <row r="153" spans="1:14" ht="26.25" thickBot="1" x14ac:dyDescent="0.25">
      <c r="A153" s="188" t="s">
        <v>389</v>
      </c>
      <c r="B153" s="314" t="s">
        <v>399</v>
      </c>
      <c r="C153" s="329"/>
      <c r="D153" s="329"/>
      <c r="E153" s="329"/>
      <c r="F153" s="329"/>
      <c r="G153" s="329"/>
      <c r="H153" s="29">
        <f t="shared" si="30"/>
        <v>57741000</v>
      </c>
      <c r="I153" s="29">
        <v>57741000</v>
      </c>
      <c r="J153" s="29"/>
      <c r="K153" s="29"/>
      <c r="L153" s="52"/>
      <c r="M153" s="52"/>
      <c r="N153" s="52"/>
    </row>
    <row r="154" spans="1:14" ht="76.5" x14ac:dyDescent="0.2">
      <c r="A154" s="236" t="s">
        <v>542</v>
      </c>
      <c r="B154" s="34" t="s">
        <v>100</v>
      </c>
      <c r="C154" s="89" t="s">
        <v>135</v>
      </c>
      <c r="D154" s="89" t="s">
        <v>109</v>
      </c>
      <c r="E154" s="249">
        <v>252242850</v>
      </c>
      <c r="F154" s="249">
        <v>1737600</v>
      </c>
      <c r="G154" s="249">
        <f>E154-F154</f>
        <v>250505250</v>
      </c>
      <c r="H154" s="28">
        <f>I154+J154+K154</f>
        <v>50448570</v>
      </c>
      <c r="I154" s="40">
        <f>SUM(I155:I157)</f>
        <v>50448570</v>
      </c>
      <c r="J154" s="40">
        <f t="shared" ref="J154:K154" si="34">SUM(J155:J156)</f>
        <v>0</v>
      </c>
      <c r="K154" s="40">
        <f t="shared" si="34"/>
        <v>0</v>
      </c>
      <c r="L154" s="52"/>
      <c r="M154" s="52"/>
      <c r="N154" s="52"/>
    </row>
    <row r="155" spans="1:14" ht="25.5" x14ac:dyDescent="0.2">
      <c r="A155" s="186" t="s">
        <v>272</v>
      </c>
      <c r="B155" s="192" t="s">
        <v>375</v>
      </c>
      <c r="C155" s="363"/>
      <c r="D155" s="363"/>
      <c r="E155" s="283"/>
      <c r="F155" s="283"/>
      <c r="G155" s="283"/>
      <c r="H155" s="27">
        <f>I155+J155+K155</f>
        <v>3477600</v>
      </c>
      <c r="I155" s="27">
        <v>3477600</v>
      </c>
      <c r="J155" s="27"/>
      <c r="K155" s="27"/>
      <c r="L155" s="52"/>
      <c r="M155" s="52"/>
      <c r="N155" s="52"/>
    </row>
    <row r="156" spans="1:14" ht="25.5" x14ac:dyDescent="0.2">
      <c r="A156" s="186" t="s">
        <v>272</v>
      </c>
      <c r="B156" s="192" t="s">
        <v>376</v>
      </c>
      <c r="C156" s="363"/>
      <c r="D156" s="363"/>
      <c r="E156" s="283"/>
      <c r="F156" s="283"/>
      <c r="G156" s="283"/>
      <c r="H156" s="27">
        <f>I156+J156+K156</f>
        <v>2348548.5</v>
      </c>
      <c r="I156" s="27">
        <v>2348548.5</v>
      </c>
      <c r="J156" s="27"/>
      <c r="K156" s="27"/>
      <c r="L156" s="52"/>
      <c r="M156" s="52"/>
      <c r="N156" s="52"/>
    </row>
    <row r="157" spans="1:14" ht="25.5" x14ac:dyDescent="0.2">
      <c r="A157" s="186" t="s">
        <v>403</v>
      </c>
      <c r="B157" s="192" t="s">
        <v>405</v>
      </c>
      <c r="C157" s="363"/>
      <c r="D157" s="363"/>
      <c r="E157" s="283"/>
      <c r="F157" s="283"/>
      <c r="G157" s="283"/>
      <c r="H157" s="27">
        <f>I157+J157+K157</f>
        <v>44622421.5</v>
      </c>
      <c r="I157" s="27">
        <v>44622421.5</v>
      </c>
      <c r="J157" s="27"/>
      <c r="K157" s="27"/>
      <c r="L157" s="52"/>
      <c r="M157" s="52"/>
      <c r="N157" s="52"/>
    </row>
    <row r="158" spans="1:14" ht="39" thickBot="1" x14ac:dyDescent="0.25">
      <c r="A158" s="188" t="s">
        <v>170</v>
      </c>
      <c r="B158" s="6"/>
      <c r="C158" s="228"/>
      <c r="D158" s="228"/>
      <c r="E158" s="375"/>
      <c r="F158" s="375"/>
      <c r="G158" s="375"/>
      <c r="H158" s="253">
        <f t="shared" ref="H158" si="35">SUM(I158:K158)</f>
        <v>1737600</v>
      </c>
      <c r="I158" s="253">
        <v>1737600</v>
      </c>
      <c r="J158" s="29"/>
      <c r="K158" s="29"/>
      <c r="L158" s="52"/>
      <c r="M158" s="52"/>
      <c r="N158" s="52"/>
    </row>
    <row r="159" spans="1:14" ht="51" x14ac:dyDescent="0.2">
      <c r="A159" s="236" t="s">
        <v>543</v>
      </c>
      <c r="B159" s="34" t="s">
        <v>119</v>
      </c>
      <c r="C159" s="89" t="s">
        <v>136</v>
      </c>
      <c r="D159" s="89" t="s">
        <v>109</v>
      </c>
      <c r="E159" s="289">
        <v>269584450</v>
      </c>
      <c r="F159" s="249">
        <v>4566200</v>
      </c>
      <c r="G159" s="249">
        <f>E159-F159</f>
        <v>265018250</v>
      </c>
      <c r="H159" s="40">
        <f>I159+J159+K159</f>
        <v>53916890</v>
      </c>
      <c r="I159" s="40">
        <f>SUM(I160:I162)</f>
        <v>53916890</v>
      </c>
      <c r="J159" s="40">
        <f t="shared" ref="J159:K159" si="36">SUM(J160:J161)</f>
        <v>0</v>
      </c>
      <c r="K159" s="40">
        <f t="shared" si="36"/>
        <v>0</v>
      </c>
      <c r="L159" s="52"/>
      <c r="M159" s="52"/>
      <c r="N159" s="52"/>
    </row>
    <row r="160" spans="1:14" ht="25.5" x14ac:dyDescent="0.2">
      <c r="A160" s="186" t="s">
        <v>272</v>
      </c>
      <c r="B160" s="192" t="s">
        <v>377</v>
      </c>
      <c r="C160" s="148"/>
      <c r="D160" s="148"/>
      <c r="E160" s="283"/>
      <c r="F160" s="283"/>
      <c r="G160" s="283"/>
      <c r="H160" s="27">
        <f>I160+J160+K160</f>
        <v>2926200</v>
      </c>
      <c r="I160" s="27">
        <v>2926200</v>
      </c>
      <c r="J160" s="27"/>
      <c r="K160" s="27"/>
      <c r="L160" s="52"/>
      <c r="M160" s="52"/>
      <c r="N160" s="52"/>
    </row>
    <row r="161" spans="1:14" ht="25.5" x14ac:dyDescent="0.2">
      <c r="A161" s="186" t="s">
        <v>272</v>
      </c>
      <c r="B161" s="192" t="s">
        <v>378</v>
      </c>
      <c r="C161" s="148"/>
      <c r="D161" s="148"/>
      <c r="E161" s="283"/>
      <c r="F161" s="283"/>
      <c r="G161" s="283"/>
      <c r="H161" s="27">
        <f>I161+J161+K161</f>
        <v>2549534.5</v>
      </c>
      <c r="I161" s="27">
        <v>2549534.5</v>
      </c>
      <c r="J161" s="27"/>
      <c r="K161" s="27"/>
      <c r="L161" s="52"/>
      <c r="M161" s="52"/>
      <c r="N161" s="52"/>
    </row>
    <row r="162" spans="1:14" ht="25.5" x14ac:dyDescent="0.2">
      <c r="A162" s="186" t="s">
        <v>403</v>
      </c>
      <c r="B162" s="192" t="s">
        <v>404</v>
      </c>
      <c r="C162" s="148"/>
      <c r="D162" s="148"/>
      <c r="E162" s="283"/>
      <c r="F162" s="283"/>
      <c r="G162" s="283"/>
      <c r="H162" s="27">
        <f>I162+J162+K162</f>
        <v>48441155.5</v>
      </c>
      <c r="I162" s="27">
        <v>48441155.5</v>
      </c>
      <c r="J162" s="27"/>
      <c r="K162" s="27"/>
      <c r="L162" s="52"/>
      <c r="M162" s="52"/>
      <c r="N162" s="52"/>
    </row>
    <row r="163" spans="1:14" ht="39" thickBot="1" x14ac:dyDescent="0.25">
      <c r="A163" s="237" t="s">
        <v>170</v>
      </c>
      <c r="B163" s="263"/>
      <c r="C163" s="174"/>
      <c r="D163" s="174"/>
      <c r="E163" s="304"/>
      <c r="F163" s="304"/>
      <c r="G163" s="304"/>
      <c r="H163" s="261">
        <f t="shared" ref="H163" si="37">SUM(I163:K163)</f>
        <v>4566200</v>
      </c>
      <c r="I163" s="261">
        <v>4566200</v>
      </c>
      <c r="J163" s="262"/>
      <c r="K163" s="262"/>
      <c r="L163" s="52"/>
      <c r="M163" s="52"/>
      <c r="N163" s="52"/>
    </row>
    <row r="164" spans="1:14" ht="25.5" x14ac:dyDescent="0.2">
      <c r="A164" s="236" t="s">
        <v>544</v>
      </c>
      <c r="B164" s="34" t="s">
        <v>100</v>
      </c>
      <c r="C164" s="89" t="s">
        <v>137</v>
      </c>
      <c r="D164" s="89" t="s">
        <v>109</v>
      </c>
      <c r="E164" s="249">
        <v>88472700</v>
      </c>
      <c r="F164" s="249">
        <v>1244200</v>
      </c>
      <c r="G164" s="249">
        <f>E164-F164</f>
        <v>87228500</v>
      </c>
      <c r="H164" s="40">
        <f>I164+J164+K164</f>
        <v>17694540</v>
      </c>
      <c r="I164" s="40">
        <f>SUM(I165:I167)</f>
        <v>17694540</v>
      </c>
      <c r="J164" s="40">
        <f t="shared" ref="J164:K164" si="38">SUM(J165:J166)</f>
        <v>0</v>
      </c>
      <c r="K164" s="40">
        <f t="shared" si="38"/>
        <v>0</v>
      </c>
      <c r="L164" s="52"/>
      <c r="M164" s="52"/>
      <c r="N164" s="52"/>
    </row>
    <row r="165" spans="1:14" ht="25.5" x14ac:dyDescent="0.2">
      <c r="A165" s="186" t="s">
        <v>272</v>
      </c>
      <c r="B165" s="192" t="s">
        <v>379</v>
      </c>
      <c r="C165" s="363"/>
      <c r="D165" s="363"/>
      <c r="E165" s="363"/>
      <c r="F165" s="363"/>
      <c r="G165" s="363"/>
      <c r="H165" s="27">
        <f>I165+J165+K165</f>
        <v>1144200</v>
      </c>
      <c r="I165" s="27">
        <v>1144200</v>
      </c>
      <c r="J165" s="27"/>
      <c r="K165" s="27"/>
      <c r="L165" s="52"/>
      <c r="M165" s="52"/>
      <c r="N165" s="52"/>
    </row>
    <row r="166" spans="1:14" ht="25.5" x14ac:dyDescent="0.2">
      <c r="A166" s="186" t="s">
        <v>272</v>
      </c>
      <c r="B166" s="192" t="s">
        <v>380</v>
      </c>
      <c r="C166" s="363"/>
      <c r="D166" s="363"/>
      <c r="E166" s="363"/>
      <c r="F166" s="363"/>
      <c r="G166" s="363"/>
      <c r="H166" s="27">
        <f>I166+J166+K166</f>
        <v>827517</v>
      </c>
      <c r="I166" s="27">
        <v>827517</v>
      </c>
      <c r="J166" s="27"/>
      <c r="K166" s="27"/>
      <c r="L166" s="52"/>
      <c r="M166" s="52"/>
      <c r="N166" s="52"/>
    </row>
    <row r="167" spans="1:14" ht="25.5" x14ac:dyDescent="0.2">
      <c r="A167" s="186" t="s">
        <v>403</v>
      </c>
      <c r="B167" s="192" t="s">
        <v>406</v>
      </c>
      <c r="C167" s="372"/>
      <c r="D167" s="372"/>
      <c r="E167" s="372"/>
      <c r="F167" s="372"/>
      <c r="G167" s="372"/>
      <c r="H167" s="27">
        <f>I167+J167+K167</f>
        <v>15722823</v>
      </c>
      <c r="I167" s="333">
        <v>15722823</v>
      </c>
      <c r="J167" s="333"/>
      <c r="K167" s="333"/>
      <c r="L167" s="52"/>
      <c r="M167" s="52"/>
      <c r="N167" s="52"/>
    </row>
    <row r="168" spans="1:14" ht="39" thickBot="1" x14ac:dyDescent="0.25">
      <c r="A168" s="188" t="s">
        <v>170</v>
      </c>
      <c r="B168" s="204"/>
      <c r="C168" s="228"/>
      <c r="D168" s="228"/>
      <c r="E168" s="228"/>
      <c r="F168" s="228"/>
      <c r="G168" s="228"/>
      <c r="H168" s="253">
        <f t="shared" ref="H168" si="39">SUM(I168:K168)</f>
        <v>1244200</v>
      </c>
      <c r="I168" s="253">
        <v>1244200</v>
      </c>
      <c r="J168" s="29"/>
      <c r="K168" s="29"/>
      <c r="L168" s="52"/>
      <c r="M168" s="52"/>
      <c r="N168" s="52"/>
    </row>
    <row r="169" spans="1:14" ht="77.25" thickBot="1" x14ac:dyDescent="0.25">
      <c r="A169" s="31" t="s">
        <v>134</v>
      </c>
      <c r="B169" s="305"/>
      <c r="C169" s="306"/>
      <c r="D169" s="306"/>
      <c r="E169" s="306"/>
      <c r="F169" s="306"/>
      <c r="G169" s="306"/>
      <c r="H169" s="275">
        <f t="shared" ref="H169" si="40">SUM(I169:K169)</f>
        <v>116510020.06</v>
      </c>
      <c r="I169" s="275">
        <f>I170+I174</f>
        <v>0</v>
      </c>
      <c r="J169" s="275">
        <f t="shared" ref="J169:K169" si="41">J170+J174</f>
        <v>116510020.06</v>
      </c>
      <c r="K169" s="275">
        <f t="shared" si="41"/>
        <v>0</v>
      </c>
      <c r="L169" s="52"/>
      <c r="M169" s="52"/>
      <c r="N169" s="52"/>
    </row>
    <row r="170" spans="1:14" ht="122.25" customHeight="1" x14ac:dyDescent="0.2">
      <c r="A170" s="236" t="s">
        <v>430</v>
      </c>
      <c r="B170" s="34" t="s">
        <v>119</v>
      </c>
      <c r="C170" s="89" t="s">
        <v>431</v>
      </c>
      <c r="D170" s="89" t="s">
        <v>109</v>
      </c>
      <c r="E170" s="107">
        <v>55878290.689999998</v>
      </c>
      <c r="F170" s="107">
        <v>0</v>
      </c>
      <c r="G170" s="107">
        <f>E170-F170</f>
        <v>55878290.689999998</v>
      </c>
      <c r="H170" s="333">
        <f>I170+J170+K170</f>
        <v>65961884.100000001</v>
      </c>
      <c r="I170" s="40">
        <f>SUM(I171:I173)</f>
        <v>0</v>
      </c>
      <c r="J170" s="40">
        <f>SUM(J171:J173)</f>
        <v>65961884.100000001</v>
      </c>
      <c r="K170" s="40">
        <f>SUM(K171:K173)</f>
        <v>0</v>
      </c>
      <c r="L170" s="52"/>
      <c r="M170" s="52"/>
      <c r="N170" s="52"/>
    </row>
    <row r="171" spans="1:14" ht="29.25" customHeight="1" x14ac:dyDescent="0.2">
      <c r="A171" s="186" t="s">
        <v>435</v>
      </c>
      <c r="B171" s="192" t="s">
        <v>432</v>
      </c>
      <c r="C171" s="154"/>
      <c r="D171" s="154"/>
      <c r="E171" s="152"/>
      <c r="F171" s="152"/>
      <c r="G171" s="152"/>
      <c r="H171" s="333">
        <f>I171+J171+K171</f>
        <v>3166000</v>
      </c>
      <c r="I171" s="28"/>
      <c r="J171" s="28">
        <v>3166000</v>
      </c>
      <c r="K171" s="28"/>
      <c r="L171" s="52"/>
      <c r="M171" s="52"/>
      <c r="N171" s="52"/>
    </row>
    <row r="172" spans="1:14" ht="29.25" customHeight="1" x14ac:dyDescent="0.2">
      <c r="A172" s="186" t="s">
        <v>436</v>
      </c>
      <c r="B172" s="192" t="s">
        <v>433</v>
      </c>
      <c r="C172" s="328"/>
      <c r="D172" s="328"/>
      <c r="E172" s="328"/>
      <c r="F172" s="328"/>
      <c r="G172" s="328"/>
      <c r="H172" s="333">
        <f>I172+J172+K172</f>
        <v>38884.1</v>
      </c>
      <c r="I172" s="27"/>
      <c r="J172" s="27">
        <f>38884.1-38884.1+38884.1</f>
        <v>38884.1</v>
      </c>
      <c r="K172" s="27"/>
      <c r="L172" s="52"/>
      <c r="M172" s="52"/>
      <c r="N172" s="52"/>
    </row>
    <row r="173" spans="1:14" ht="30.75" customHeight="1" thickBot="1" x14ac:dyDescent="0.25">
      <c r="A173" s="188" t="s">
        <v>437</v>
      </c>
      <c r="B173" s="314" t="s">
        <v>434</v>
      </c>
      <c r="C173" s="329"/>
      <c r="D173" s="329"/>
      <c r="E173" s="329"/>
      <c r="F173" s="329"/>
      <c r="G173" s="329"/>
      <c r="H173" s="29">
        <f>I173+J173+K173</f>
        <v>62757000</v>
      </c>
      <c r="I173" s="29"/>
      <c r="J173" s="29">
        <v>62757000</v>
      </c>
      <c r="K173" s="29"/>
      <c r="L173" s="52"/>
      <c r="M173" s="52"/>
      <c r="N173" s="52"/>
    </row>
    <row r="174" spans="1:14" ht="102" x14ac:dyDescent="0.2">
      <c r="A174" s="323" t="s">
        <v>438</v>
      </c>
      <c r="B174" s="311" t="s">
        <v>119</v>
      </c>
      <c r="C174" s="154" t="s">
        <v>431</v>
      </c>
      <c r="D174" s="154" t="s">
        <v>118</v>
      </c>
      <c r="E174" s="152">
        <v>39236576.960000001</v>
      </c>
      <c r="F174" s="152">
        <v>0</v>
      </c>
      <c r="G174" s="152">
        <f>E174-F174</f>
        <v>39236576.960000001</v>
      </c>
      <c r="H174" s="260">
        <f t="shared" ref="H174:H177" si="42">I174+J174+K174</f>
        <v>50548135.960000001</v>
      </c>
      <c r="I174" s="28">
        <f>SUM(I175:I177)</f>
        <v>0</v>
      </c>
      <c r="J174" s="28">
        <f>SUM(J175:J177)</f>
        <v>50548135.960000001</v>
      </c>
      <c r="K174" s="28">
        <f>SUM(K175:K177)</f>
        <v>0</v>
      </c>
      <c r="L174" s="52"/>
      <c r="M174" s="52"/>
      <c r="N174" s="52"/>
    </row>
    <row r="175" spans="1:14" ht="25.5" x14ac:dyDescent="0.2">
      <c r="A175" s="186" t="s">
        <v>435</v>
      </c>
      <c r="B175" s="192" t="s">
        <v>439</v>
      </c>
      <c r="C175" s="328"/>
      <c r="D175" s="328"/>
      <c r="E175" s="328"/>
      <c r="F175" s="328"/>
      <c r="G175" s="328"/>
      <c r="H175" s="333">
        <f t="shared" si="42"/>
        <v>2426000</v>
      </c>
      <c r="I175" s="28"/>
      <c r="J175" s="28">
        <v>2426000</v>
      </c>
      <c r="K175" s="28"/>
      <c r="L175" s="52"/>
      <c r="M175" s="52"/>
      <c r="N175" s="52"/>
    </row>
    <row r="176" spans="1:14" ht="25.5" x14ac:dyDescent="0.2">
      <c r="A176" s="186" t="s">
        <v>436</v>
      </c>
      <c r="B176" s="192" t="s">
        <v>440</v>
      </c>
      <c r="C176" s="328"/>
      <c r="D176" s="328"/>
      <c r="E176" s="328"/>
      <c r="F176" s="328"/>
      <c r="G176" s="328"/>
      <c r="H176" s="27">
        <f t="shared" si="42"/>
        <v>30135.96</v>
      </c>
      <c r="I176" s="27"/>
      <c r="J176" s="27">
        <f>30135.96-30135.96+30135.96</f>
        <v>30135.96</v>
      </c>
      <c r="K176" s="27"/>
      <c r="L176" s="52"/>
      <c r="M176" s="52"/>
      <c r="N176" s="52"/>
    </row>
    <row r="177" spans="1:14" ht="25.5" x14ac:dyDescent="0.2">
      <c r="A177" s="186" t="s">
        <v>437</v>
      </c>
      <c r="B177" s="192" t="s">
        <v>441</v>
      </c>
      <c r="C177" s="328"/>
      <c r="D177" s="328"/>
      <c r="E177" s="328"/>
      <c r="F177" s="328"/>
      <c r="G177" s="328"/>
      <c r="H177" s="27">
        <f t="shared" si="42"/>
        <v>48092000</v>
      </c>
      <c r="I177" s="27"/>
      <c r="J177" s="27">
        <v>48092000</v>
      </c>
      <c r="K177" s="27"/>
      <c r="L177" s="52"/>
      <c r="M177" s="52"/>
      <c r="N177" s="52"/>
    </row>
    <row r="178" spans="1:14" ht="26.25" thickBot="1" x14ac:dyDescent="0.25">
      <c r="A178" s="428" t="s">
        <v>113</v>
      </c>
      <c r="B178" s="429"/>
      <c r="C178" s="429"/>
      <c r="D178" s="429"/>
      <c r="E178" s="429"/>
      <c r="F178" s="429"/>
      <c r="G178" s="429"/>
      <c r="H178" s="430">
        <f>I178+J178+K178</f>
        <v>560487105.71999991</v>
      </c>
      <c r="I178" s="430">
        <f>SUM(I179:I211)</f>
        <v>443977085.65999997</v>
      </c>
      <c r="J178" s="430">
        <f t="shared" ref="J178:K178" si="43">SUM(J179:J211)</f>
        <v>116510020.05999999</v>
      </c>
      <c r="K178" s="430">
        <f t="shared" si="43"/>
        <v>0</v>
      </c>
      <c r="L178" s="77">
        <f>H117</f>
        <v>560487105.72000003</v>
      </c>
      <c r="M178" s="153"/>
      <c r="N178" s="102">
        <f>H178-L178</f>
        <v>0</v>
      </c>
    </row>
    <row r="179" spans="1:14" ht="25.5" x14ac:dyDescent="0.2">
      <c r="A179" s="186" t="s">
        <v>272</v>
      </c>
      <c r="B179" s="192" t="s">
        <v>286</v>
      </c>
      <c r="C179" s="236"/>
      <c r="D179" s="236"/>
      <c r="E179" s="236"/>
      <c r="F179" s="236"/>
      <c r="G179" s="236"/>
      <c r="H179" s="191">
        <f t="shared" ref="H179:H238" si="44">I179+J179+K179</f>
        <v>3426464.83</v>
      </c>
      <c r="I179" s="249">
        <f t="shared" ref="I179:K180" si="45">I120</f>
        <v>3426464.83</v>
      </c>
      <c r="J179" s="249">
        <f t="shared" si="45"/>
        <v>0</v>
      </c>
      <c r="K179" s="249">
        <f t="shared" si="45"/>
        <v>0</v>
      </c>
      <c r="L179" s="77"/>
      <c r="M179" s="153"/>
      <c r="N179" s="102"/>
    </row>
    <row r="180" spans="1:14" ht="25.5" x14ac:dyDescent="0.2">
      <c r="A180" s="186" t="s">
        <v>389</v>
      </c>
      <c r="B180" s="192" t="s">
        <v>286</v>
      </c>
      <c r="C180" s="323"/>
      <c r="D180" s="323"/>
      <c r="E180" s="323"/>
      <c r="F180" s="323"/>
      <c r="G180" s="323"/>
      <c r="H180" s="191">
        <f t="shared" si="44"/>
        <v>65102831.689999998</v>
      </c>
      <c r="I180" s="191">
        <f t="shared" si="45"/>
        <v>65102831.689999998</v>
      </c>
      <c r="J180" s="191">
        <f t="shared" si="45"/>
        <v>0</v>
      </c>
      <c r="K180" s="191">
        <f t="shared" si="45"/>
        <v>0</v>
      </c>
      <c r="L180" s="77"/>
      <c r="M180" s="153"/>
      <c r="N180" s="102"/>
    </row>
    <row r="181" spans="1:14" ht="25.5" x14ac:dyDescent="0.2">
      <c r="A181" s="186" t="s">
        <v>272</v>
      </c>
      <c r="B181" s="192" t="s">
        <v>274</v>
      </c>
      <c r="C181" s="283"/>
      <c r="D181" s="283"/>
      <c r="E181" s="283"/>
      <c r="F181" s="283"/>
      <c r="G181" s="283"/>
      <c r="H181" s="291">
        <f t="shared" si="44"/>
        <v>172559</v>
      </c>
      <c r="I181" s="291">
        <f t="shared" ref="I181:K182" si="46">I140</f>
        <v>172559</v>
      </c>
      <c r="J181" s="291">
        <f t="shared" si="46"/>
        <v>0</v>
      </c>
      <c r="K181" s="291">
        <f t="shared" si="46"/>
        <v>0</v>
      </c>
      <c r="L181" s="77"/>
      <c r="M181" s="153"/>
      <c r="N181" s="102"/>
    </row>
    <row r="182" spans="1:14" ht="25.5" x14ac:dyDescent="0.2">
      <c r="A182" s="186" t="s">
        <v>389</v>
      </c>
      <c r="B182" s="192" t="s">
        <v>274</v>
      </c>
      <c r="C182" s="283"/>
      <c r="D182" s="283"/>
      <c r="E182" s="283"/>
      <c r="F182" s="283"/>
      <c r="G182" s="283"/>
      <c r="H182" s="291">
        <f t="shared" si="44"/>
        <v>3278620.94</v>
      </c>
      <c r="I182" s="291">
        <f t="shared" si="46"/>
        <v>3278620.94</v>
      </c>
      <c r="J182" s="291">
        <f t="shared" si="46"/>
        <v>0</v>
      </c>
      <c r="K182" s="291">
        <f t="shared" si="46"/>
        <v>0</v>
      </c>
      <c r="L182" s="77"/>
      <c r="M182" s="153"/>
      <c r="N182" s="102"/>
    </row>
    <row r="183" spans="1:14" ht="25.5" x14ac:dyDescent="0.2">
      <c r="A183" s="186" t="s">
        <v>272</v>
      </c>
      <c r="B183" s="192" t="s">
        <v>284</v>
      </c>
      <c r="C183" s="283"/>
      <c r="D183" s="283"/>
      <c r="E183" s="283"/>
      <c r="F183" s="283"/>
      <c r="G183" s="283"/>
      <c r="H183" s="191">
        <f t="shared" si="44"/>
        <v>1048918.81</v>
      </c>
      <c r="I183" s="291">
        <f t="shared" ref="I183:K184" si="47">I143</f>
        <v>1048918.81</v>
      </c>
      <c r="J183" s="291">
        <f t="shared" si="47"/>
        <v>0</v>
      </c>
      <c r="K183" s="291">
        <f t="shared" si="47"/>
        <v>0</v>
      </c>
      <c r="L183" s="77"/>
      <c r="M183" s="153"/>
      <c r="N183" s="102"/>
    </row>
    <row r="184" spans="1:14" ht="25.5" x14ac:dyDescent="0.2">
      <c r="A184" s="186" t="s">
        <v>389</v>
      </c>
      <c r="B184" s="192" t="s">
        <v>284</v>
      </c>
      <c r="C184" s="283"/>
      <c r="D184" s="283"/>
      <c r="E184" s="283"/>
      <c r="F184" s="283"/>
      <c r="G184" s="283"/>
      <c r="H184" s="291">
        <f t="shared" si="44"/>
        <v>19929457.399999999</v>
      </c>
      <c r="I184" s="291">
        <f t="shared" si="47"/>
        <v>19929457.399999999</v>
      </c>
      <c r="J184" s="291">
        <f t="shared" si="47"/>
        <v>0</v>
      </c>
      <c r="K184" s="291">
        <f t="shared" si="47"/>
        <v>0</v>
      </c>
      <c r="L184" s="77"/>
      <c r="M184" s="153"/>
      <c r="N184" s="102"/>
    </row>
    <row r="185" spans="1:14" ht="25.5" x14ac:dyDescent="0.2">
      <c r="A185" s="186" t="s">
        <v>272</v>
      </c>
      <c r="B185" s="192" t="s">
        <v>287</v>
      </c>
      <c r="C185" s="323"/>
      <c r="D185" s="323"/>
      <c r="E185" s="323"/>
      <c r="F185" s="323"/>
      <c r="G185" s="323"/>
      <c r="H185" s="191">
        <f t="shared" si="44"/>
        <v>3577245.31</v>
      </c>
      <c r="I185" s="191">
        <f t="shared" ref="I185:K186" si="48">I125</f>
        <v>3577245.31</v>
      </c>
      <c r="J185" s="191">
        <f t="shared" si="48"/>
        <v>0</v>
      </c>
      <c r="K185" s="191">
        <f t="shared" si="48"/>
        <v>0</v>
      </c>
      <c r="L185" s="77"/>
      <c r="M185" s="153"/>
      <c r="N185" s="102"/>
    </row>
    <row r="186" spans="1:14" ht="25.5" x14ac:dyDescent="0.2">
      <c r="A186" s="186" t="s">
        <v>389</v>
      </c>
      <c r="B186" s="192" t="s">
        <v>287</v>
      </c>
      <c r="C186" s="323"/>
      <c r="D186" s="323"/>
      <c r="E186" s="323"/>
      <c r="F186" s="323"/>
      <c r="G186" s="323"/>
      <c r="H186" s="191">
        <f t="shared" si="44"/>
        <v>67967660.909999996</v>
      </c>
      <c r="I186" s="191">
        <f t="shared" si="48"/>
        <v>67967660.909999996</v>
      </c>
      <c r="J186" s="191">
        <f t="shared" si="48"/>
        <v>0</v>
      </c>
      <c r="K186" s="191">
        <f t="shared" si="48"/>
        <v>0</v>
      </c>
      <c r="L186" s="77"/>
      <c r="M186" s="153"/>
      <c r="N186" s="102"/>
    </row>
    <row r="187" spans="1:14" ht="25.5" x14ac:dyDescent="0.2">
      <c r="A187" s="186" t="s">
        <v>272</v>
      </c>
      <c r="B187" s="192" t="s">
        <v>290</v>
      </c>
      <c r="C187" s="283"/>
      <c r="D187" s="283"/>
      <c r="E187" s="283"/>
      <c r="F187" s="283"/>
      <c r="G187" s="283"/>
      <c r="H187" s="291">
        <f t="shared" si="44"/>
        <v>139327.71</v>
      </c>
      <c r="I187" s="291">
        <f t="shared" ref="I187:K188" si="49">I149</f>
        <v>139327.71</v>
      </c>
      <c r="J187" s="291">
        <f t="shared" si="49"/>
        <v>0</v>
      </c>
      <c r="K187" s="291">
        <f t="shared" si="49"/>
        <v>0</v>
      </c>
      <c r="L187" s="77"/>
      <c r="M187" s="153"/>
      <c r="N187" s="102"/>
    </row>
    <row r="188" spans="1:14" ht="25.5" x14ac:dyDescent="0.2">
      <c r="A188" s="186" t="s">
        <v>389</v>
      </c>
      <c r="B188" s="192" t="s">
        <v>290</v>
      </c>
      <c r="C188" s="323"/>
      <c r="D188" s="323"/>
      <c r="E188" s="323"/>
      <c r="F188" s="323"/>
      <c r="G188" s="323"/>
      <c r="H188" s="191">
        <f t="shared" si="44"/>
        <v>2647226.4500000002</v>
      </c>
      <c r="I188" s="191">
        <f t="shared" si="49"/>
        <v>2647226.4500000002</v>
      </c>
      <c r="J188" s="191">
        <f t="shared" si="49"/>
        <v>0</v>
      </c>
      <c r="K188" s="191">
        <f t="shared" si="49"/>
        <v>0</v>
      </c>
      <c r="L188" s="77"/>
      <c r="M188" s="153"/>
      <c r="N188" s="102"/>
    </row>
    <row r="189" spans="1:14" ht="25.5" x14ac:dyDescent="0.2">
      <c r="A189" s="187" t="s">
        <v>272</v>
      </c>
      <c r="B189" s="311" t="s">
        <v>276</v>
      </c>
      <c r="C189" s="323"/>
      <c r="D189" s="323"/>
      <c r="E189" s="323"/>
      <c r="F189" s="323"/>
      <c r="G189" s="323"/>
      <c r="H189" s="191">
        <f t="shared" si="44"/>
        <v>1439062.29</v>
      </c>
      <c r="I189" s="191">
        <f t="shared" ref="I189:K190" si="50">I130</f>
        <v>1439062.29</v>
      </c>
      <c r="J189" s="191">
        <f t="shared" si="50"/>
        <v>0</v>
      </c>
      <c r="K189" s="191">
        <f t="shared" si="50"/>
        <v>0</v>
      </c>
      <c r="L189" s="77"/>
      <c r="M189" s="153"/>
      <c r="N189" s="102"/>
    </row>
    <row r="190" spans="1:14" ht="25.5" x14ac:dyDescent="0.2">
      <c r="A190" s="186" t="s">
        <v>389</v>
      </c>
      <c r="B190" s="311" t="s">
        <v>276</v>
      </c>
      <c r="C190" s="323"/>
      <c r="D190" s="323"/>
      <c r="E190" s="323"/>
      <c r="F190" s="323"/>
      <c r="G190" s="323"/>
      <c r="H190" s="191">
        <f t="shared" si="44"/>
        <v>27342183.41</v>
      </c>
      <c r="I190" s="191">
        <f t="shared" si="50"/>
        <v>27342183.41</v>
      </c>
      <c r="J190" s="191">
        <f t="shared" si="50"/>
        <v>0</v>
      </c>
      <c r="K190" s="191">
        <f t="shared" si="50"/>
        <v>0</v>
      </c>
      <c r="L190" s="77"/>
      <c r="M190" s="153"/>
      <c r="N190" s="102"/>
    </row>
    <row r="191" spans="1:14" ht="25.5" x14ac:dyDescent="0.2">
      <c r="A191" s="186" t="s">
        <v>272</v>
      </c>
      <c r="B191" s="192" t="s">
        <v>279</v>
      </c>
      <c r="C191" s="283"/>
      <c r="D191" s="283"/>
      <c r="E191" s="283"/>
      <c r="F191" s="283"/>
      <c r="G191" s="283"/>
      <c r="H191" s="191">
        <f t="shared" si="44"/>
        <v>445211.31</v>
      </c>
      <c r="I191" s="291">
        <f t="shared" ref="I191:K192" si="51">I146</f>
        <v>445211.31</v>
      </c>
      <c r="J191" s="291">
        <f t="shared" si="51"/>
        <v>0</v>
      </c>
      <c r="K191" s="291">
        <f t="shared" si="51"/>
        <v>0</v>
      </c>
      <c r="L191" s="77"/>
      <c r="M191" s="153"/>
      <c r="N191" s="102"/>
    </row>
    <row r="192" spans="1:14" ht="25.5" x14ac:dyDescent="0.2">
      <c r="A192" s="186" t="s">
        <v>389</v>
      </c>
      <c r="B192" s="192" t="s">
        <v>279</v>
      </c>
      <c r="C192" s="283"/>
      <c r="D192" s="283"/>
      <c r="E192" s="283"/>
      <c r="F192" s="283"/>
      <c r="G192" s="283"/>
      <c r="H192" s="191">
        <f t="shared" si="44"/>
        <v>8459014.8699999992</v>
      </c>
      <c r="I192" s="291">
        <f t="shared" si="51"/>
        <v>8459014.8699999992</v>
      </c>
      <c r="J192" s="291">
        <f t="shared" si="51"/>
        <v>0</v>
      </c>
      <c r="K192" s="291">
        <f t="shared" si="51"/>
        <v>0</v>
      </c>
      <c r="L192" s="77"/>
      <c r="M192" s="153"/>
      <c r="N192" s="102"/>
    </row>
    <row r="193" spans="1:14" ht="25.5" x14ac:dyDescent="0.2">
      <c r="A193" s="186" t="s">
        <v>272</v>
      </c>
      <c r="B193" s="192" t="s">
        <v>281</v>
      </c>
      <c r="C193" s="283"/>
      <c r="D193" s="283"/>
      <c r="E193" s="283"/>
      <c r="F193" s="283"/>
      <c r="G193" s="283"/>
      <c r="H193" s="191">
        <f t="shared" si="44"/>
        <v>2808065.04</v>
      </c>
      <c r="I193" s="291">
        <f t="shared" ref="I193:K194" si="52">I135</f>
        <v>2808065.04</v>
      </c>
      <c r="J193" s="291">
        <f t="shared" si="52"/>
        <v>0</v>
      </c>
      <c r="K193" s="291">
        <f t="shared" si="52"/>
        <v>0</v>
      </c>
      <c r="L193" s="77"/>
      <c r="M193" s="153"/>
      <c r="N193" s="102"/>
    </row>
    <row r="194" spans="1:14" ht="25.5" x14ac:dyDescent="0.2">
      <c r="A194" s="186" t="s">
        <v>389</v>
      </c>
      <c r="B194" s="192" t="s">
        <v>281</v>
      </c>
      <c r="C194" s="368"/>
      <c r="D194" s="368"/>
      <c r="E194" s="368"/>
      <c r="F194" s="368"/>
      <c r="G194" s="368"/>
      <c r="H194" s="191">
        <f t="shared" si="44"/>
        <v>53353235.689999998</v>
      </c>
      <c r="I194" s="369">
        <f t="shared" si="52"/>
        <v>53353235.689999998</v>
      </c>
      <c r="J194" s="369">
        <f t="shared" si="52"/>
        <v>0</v>
      </c>
      <c r="K194" s="369">
        <f t="shared" si="52"/>
        <v>0</v>
      </c>
      <c r="L194" s="77"/>
      <c r="M194" s="153"/>
      <c r="N194" s="102"/>
    </row>
    <row r="195" spans="1:14" ht="25.5" x14ac:dyDescent="0.2">
      <c r="A195" s="186" t="s">
        <v>272</v>
      </c>
      <c r="B195" s="192" t="s">
        <v>375</v>
      </c>
      <c r="C195" s="368"/>
      <c r="D195" s="368"/>
      <c r="E195" s="368"/>
      <c r="F195" s="368"/>
      <c r="G195" s="368"/>
      <c r="H195" s="291">
        <f t="shared" si="44"/>
        <v>3477600</v>
      </c>
      <c r="I195" s="369">
        <f t="shared" ref="I195:K197" si="53">I155</f>
        <v>3477600</v>
      </c>
      <c r="J195" s="369">
        <f t="shared" si="53"/>
        <v>0</v>
      </c>
      <c r="K195" s="369">
        <f t="shared" si="53"/>
        <v>0</v>
      </c>
      <c r="L195" s="77"/>
      <c r="M195" s="153"/>
      <c r="N195" s="102"/>
    </row>
    <row r="196" spans="1:14" ht="25.5" x14ac:dyDescent="0.2">
      <c r="A196" s="186" t="s">
        <v>272</v>
      </c>
      <c r="B196" s="192" t="s">
        <v>386</v>
      </c>
      <c r="C196" s="283"/>
      <c r="D196" s="283"/>
      <c r="E196" s="283"/>
      <c r="F196" s="283"/>
      <c r="G196" s="283"/>
      <c r="H196" s="291">
        <f t="shared" si="44"/>
        <v>2348548.5</v>
      </c>
      <c r="I196" s="291">
        <f t="shared" si="53"/>
        <v>2348548.5</v>
      </c>
      <c r="J196" s="291">
        <f t="shared" si="53"/>
        <v>0</v>
      </c>
      <c r="K196" s="291">
        <f t="shared" si="53"/>
        <v>0</v>
      </c>
      <c r="L196" s="77"/>
      <c r="M196" s="153"/>
      <c r="N196" s="102"/>
    </row>
    <row r="197" spans="1:14" ht="25.5" x14ac:dyDescent="0.2">
      <c r="A197" s="186" t="s">
        <v>403</v>
      </c>
      <c r="B197" s="192" t="s">
        <v>386</v>
      </c>
      <c r="C197" s="283"/>
      <c r="D197" s="283"/>
      <c r="E197" s="283"/>
      <c r="F197" s="283"/>
      <c r="G197" s="283"/>
      <c r="H197" s="291">
        <f t="shared" si="44"/>
        <v>44622421.5</v>
      </c>
      <c r="I197" s="291">
        <f t="shared" si="53"/>
        <v>44622421.5</v>
      </c>
      <c r="J197" s="291">
        <f t="shared" si="53"/>
        <v>0</v>
      </c>
      <c r="K197" s="291">
        <f t="shared" si="53"/>
        <v>0</v>
      </c>
      <c r="L197" s="77"/>
      <c r="M197" s="153"/>
      <c r="N197" s="102"/>
    </row>
    <row r="198" spans="1:14" ht="25.5" x14ac:dyDescent="0.2">
      <c r="A198" s="186" t="s">
        <v>272</v>
      </c>
      <c r="B198" s="192" t="s">
        <v>377</v>
      </c>
      <c r="C198" s="283"/>
      <c r="D198" s="283"/>
      <c r="E198" s="283"/>
      <c r="F198" s="283"/>
      <c r="G198" s="283"/>
      <c r="H198" s="291">
        <f t="shared" si="44"/>
        <v>2926200</v>
      </c>
      <c r="I198" s="291">
        <f t="shared" ref="I198:K200" si="54">I160</f>
        <v>2926200</v>
      </c>
      <c r="J198" s="291">
        <f t="shared" si="54"/>
        <v>0</v>
      </c>
      <c r="K198" s="291">
        <f t="shared" si="54"/>
        <v>0</v>
      </c>
      <c r="L198" s="77"/>
      <c r="M198" s="153"/>
      <c r="N198" s="102"/>
    </row>
    <row r="199" spans="1:14" ht="25.5" x14ac:dyDescent="0.2">
      <c r="A199" s="186" t="s">
        <v>272</v>
      </c>
      <c r="B199" s="192" t="s">
        <v>387</v>
      </c>
      <c r="C199" s="368"/>
      <c r="D199" s="368"/>
      <c r="E199" s="368"/>
      <c r="F199" s="368"/>
      <c r="G199" s="368"/>
      <c r="H199" s="291">
        <f t="shared" si="44"/>
        <v>2549534.5</v>
      </c>
      <c r="I199" s="369">
        <f t="shared" si="54"/>
        <v>2549534.5</v>
      </c>
      <c r="J199" s="369">
        <f t="shared" si="54"/>
        <v>0</v>
      </c>
      <c r="K199" s="369">
        <f t="shared" si="54"/>
        <v>0</v>
      </c>
      <c r="L199" s="77"/>
      <c r="M199" s="153"/>
      <c r="N199" s="102"/>
    </row>
    <row r="200" spans="1:14" ht="25.5" x14ac:dyDescent="0.2">
      <c r="A200" s="186" t="s">
        <v>403</v>
      </c>
      <c r="B200" s="192" t="s">
        <v>407</v>
      </c>
      <c r="C200" s="368"/>
      <c r="D200" s="368"/>
      <c r="E200" s="368"/>
      <c r="F200" s="368"/>
      <c r="G200" s="368"/>
      <c r="H200" s="291">
        <f t="shared" si="44"/>
        <v>48441155.5</v>
      </c>
      <c r="I200" s="369">
        <f t="shared" si="54"/>
        <v>48441155.5</v>
      </c>
      <c r="J200" s="369">
        <f t="shared" si="54"/>
        <v>0</v>
      </c>
      <c r="K200" s="369">
        <f t="shared" si="54"/>
        <v>0</v>
      </c>
      <c r="L200" s="77"/>
      <c r="M200" s="153"/>
      <c r="N200" s="102"/>
    </row>
    <row r="201" spans="1:14" ht="25.5" x14ac:dyDescent="0.2">
      <c r="A201" s="186" t="s">
        <v>272</v>
      </c>
      <c r="B201" s="192" t="s">
        <v>379</v>
      </c>
      <c r="C201" s="283"/>
      <c r="D201" s="283"/>
      <c r="E201" s="283"/>
      <c r="F201" s="283"/>
      <c r="G201" s="283"/>
      <c r="H201" s="291">
        <f t="shared" si="44"/>
        <v>1144200</v>
      </c>
      <c r="I201" s="291">
        <f t="shared" ref="I201:K203" si="55">I165</f>
        <v>1144200</v>
      </c>
      <c r="J201" s="291">
        <f t="shared" si="55"/>
        <v>0</v>
      </c>
      <c r="K201" s="291">
        <f t="shared" si="55"/>
        <v>0</v>
      </c>
      <c r="L201" s="77"/>
      <c r="M201" s="153"/>
      <c r="N201" s="102"/>
    </row>
    <row r="202" spans="1:14" ht="25.5" x14ac:dyDescent="0.2">
      <c r="A202" s="186" t="s">
        <v>272</v>
      </c>
      <c r="B202" s="192" t="s">
        <v>388</v>
      </c>
      <c r="C202" s="283"/>
      <c r="D202" s="283"/>
      <c r="E202" s="283"/>
      <c r="F202" s="283"/>
      <c r="G202" s="283"/>
      <c r="H202" s="291">
        <f t="shared" si="44"/>
        <v>827517</v>
      </c>
      <c r="I202" s="291">
        <f t="shared" si="55"/>
        <v>827517</v>
      </c>
      <c r="J202" s="291">
        <f t="shared" si="55"/>
        <v>0</v>
      </c>
      <c r="K202" s="291">
        <f t="shared" si="55"/>
        <v>0</v>
      </c>
      <c r="L202" s="77"/>
      <c r="M202" s="153"/>
      <c r="N202" s="102"/>
    </row>
    <row r="203" spans="1:14" ht="25.5" x14ac:dyDescent="0.2">
      <c r="A203" s="186" t="s">
        <v>403</v>
      </c>
      <c r="B203" s="192" t="s">
        <v>388</v>
      </c>
      <c r="C203" s="338"/>
      <c r="D203" s="338"/>
      <c r="E203" s="338"/>
      <c r="F203" s="338"/>
      <c r="G203" s="338"/>
      <c r="H203" s="291">
        <f t="shared" si="44"/>
        <v>15722823</v>
      </c>
      <c r="I203" s="257">
        <f t="shared" si="55"/>
        <v>15722823</v>
      </c>
      <c r="J203" s="257">
        <f t="shared" si="55"/>
        <v>0</v>
      </c>
      <c r="K203" s="257">
        <f t="shared" si="55"/>
        <v>0</v>
      </c>
      <c r="L203" s="77"/>
      <c r="M203" s="153"/>
      <c r="N203" s="102"/>
    </row>
    <row r="204" spans="1:14" ht="25.5" x14ac:dyDescent="0.2">
      <c r="A204" s="312" t="s">
        <v>272</v>
      </c>
      <c r="B204" s="192" t="s">
        <v>401</v>
      </c>
      <c r="C204" s="283"/>
      <c r="D204" s="283"/>
      <c r="E204" s="283"/>
      <c r="F204" s="283"/>
      <c r="G204" s="283"/>
      <c r="H204" s="369">
        <f t="shared" si="44"/>
        <v>3039000</v>
      </c>
      <c r="I204" s="291">
        <f t="shared" ref="I204:K205" si="56">I152</f>
        <v>3039000</v>
      </c>
      <c r="J204" s="291">
        <f t="shared" si="56"/>
        <v>0</v>
      </c>
      <c r="K204" s="291">
        <f t="shared" si="56"/>
        <v>0</v>
      </c>
      <c r="L204" s="77"/>
      <c r="M204" s="153"/>
      <c r="N204" s="102"/>
    </row>
    <row r="205" spans="1:14" ht="25.5" x14ac:dyDescent="0.2">
      <c r="A205" s="312" t="s">
        <v>389</v>
      </c>
      <c r="B205" s="313" t="s">
        <v>402</v>
      </c>
      <c r="C205" s="338"/>
      <c r="D205" s="338"/>
      <c r="E205" s="338"/>
      <c r="F205" s="338"/>
      <c r="G205" s="338"/>
      <c r="H205" s="369">
        <f t="shared" si="44"/>
        <v>57741000</v>
      </c>
      <c r="I205" s="257">
        <f t="shared" si="56"/>
        <v>57741000</v>
      </c>
      <c r="J205" s="257">
        <f t="shared" si="56"/>
        <v>0</v>
      </c>
      <c r="K205" s="257">
        <f t="shared" si="56"/>
        <v>0</v>
      </c>
      <c r="L205" s="77"/>
      <c r="M205" s="153"/>
      <c r="N205" s="102"/>
    </row>
    <row r="206" spans="1:14" ht="25.5" x14ac:dyDescent="0.2">
      <c r="A206" s="186" t="s">
        <v>435</v>
      </c>
      <c r="B206" s="192" t="s">
        <v>442</v>
      </c>
      <c r="C206" s="283"/>
      <c r="D206" s="283"/>
      <c r="E206" s="283"/>
      <c r="F206" s="283"/>
      <c r="G206" s="283"/>
      <c r="H206" s="369">
        <f t="shared" si="44"/>
        <v>3166000</v>
      </c>
      <c r="I206" s="291">
        <f t="shared" ref="I206:K208" si="57">I171</f>
        <v>0</v>
      </c>
      <c r="J206" s="291">
        <f t="shared" si="57"/>
        <v>3166000</v>
      </c>
      <c r="K206" s="291">
        <f t="shared" si="57"/>
        <v>0</v>
      </c>
      <c r="L206" s="77"/>
      <c r="M206" s="153"/>
      <c r="N206" s="102"/>
    </row>
    <row r="207" spans="1:14" ht="25.5" x14ac:dyDescent="0.2">
      <c r="A207" s="186" t="s">
        <v>436</v>
      </c>
      <c r="B207" s="192" t="s">
        <v>442</v>
      </c>
      <c r="C207" s="283"/>
      <c r="D207" s="283"/>
      <c r="E207" s="283"/>
      <c r="F207" s="283"/>
      <c r="G207" s="283"/>
      <c r="H207" s="291">
        <f t="shared" si="44"/>
        <v>38884.1</v>
      </c>
      <c r="I207" s="291">
        <f t="shared" si="57"/>
        <v>0</v>
      </c>
      <c r="J207" s="291">
        <f t="shared" si="57"/>
        <v>38884.1</v>
      </c>
      <c r="K207" s="291">
        <f t="shared" si="57"/>
        <v>0</v>
      </c>
      <c r="L207" s="77"/>
      <c r="M207" s="153"/>
      <c r="N207" s="102"/>
    </row>
    <row r="208" spans="1:14" ht="25.5" x14ac:dyDescent="0.2">
      <c r="A208" s="312" t="s">
        <v>437</v>
      </c>
      <c r="B208" s="313" t="s">
        <v>442</v>
      </c>
      <c r="C208" s="283"/>
      <c r="D208" s="283"/>
      <c r="E208" s="283"/>
      <c r="F208" s="283"/>
      <c r="G208" s="283"/>
      <c r="H208" s="369">
        <f t="shared" si="44"/>
        <v>62757000</v>
      </c>
      <c r="I208" s="291">
        <f t="shared" si="57"/>
        <v>0</v>
      </c>
      <c r="J208" s="291">
        <f t="shared" si="57"/>
        <v>62757000</v>
      </c>
      <c r="K208" s="291">
        <f t="shared" si="57"/>
        <v>0</v>
      </c>
      <c r="L208" s="77"/>
      <c r="M208" s="153"/>
      <c r="N208" s="102"/>
    </row>
    <row r="209" spans="1:14" ht="25.5" x14ac:dyDescent="0.2">
      <c r="A209" s="186" t="s">
        <v>435</v>
      </c>
      <c r="B209" s="192" t="s">
        <v>443</v>
      </c>
      <c r="C209" s="283"/>
      <c r="D209" s="283"/>
      <c r="E209" s="283"/>
      <c r="F209" s="283"/>
      <c r="G209" s="283"/>
      <c r="H209" s="369">
        <f t="shared" si="44"/>
        <v>2426000</v>
      </c>
      <c r="I209" s="291">
        <f t="shared" ref="I209:K211" si="58">I175</f>
        <v>0</v>
      </c>
      <c r="J209" s="291">
        <f t="shared" si="58"/>
        <v>2426000</v>
      </c>
      <c r="K209" s="291">
        <f t="shared" si="58"/>
        <v>0</v>
      </c>
      <c r="L209" s="77"/>
      <c r="M209" s="153"/>
      <c r="N209" s="102"/>
    </row>
    <row r="210" spans="1:14" ht="25.5" x14ac:dyDescent="0.2">
      <c r="A210" s="186" t="s">
        <v>436</v>
      </c>
      <c r="B210" s="192" t="s">
        <v>444</v>
      </c>
      <c r="C210" s="283"/>
      <c r="D210" s="283"/>
      <c r="E210" s="283"/>
      <c r="F210" s="283"/>
      <c r="G210" s="283"/>
      <c r="H210" s="291">
        <f t="shared" si="44"/>
        <v>30135.96</v>
      </c>
      <c r="I210" s="291">
        <f t="shared" si="58"/>
        <v>0</v>
      </c>
      <c r="J210" s="291">
        <f t="shared" si="58"/>
        <v>30135.96</v>
      </c>
      <c r="K210" s="291">
        <f t="shared" si="58"/>
        <v>0</v>
      </c>
      <c r="L210" s="77"/>
      <c r="M210" s="153"/>
      <c r="N210" s="102"/>
    </row>
    <row r="211" spans="1:14" ht="26.25" thickBot="1" x14ac:dyDescent="0.25">
      <c r="A211" s="312" t="s">
        <v>437</v>
      </c>
      <c r="B211" s="313" t="s">
        <v>444</v>
      </c>
      <c r="C211" s="375"/>
      <c r="D211" s="375"/>
      <c r="E211" s="375"/>
      <c r="F211" s="375"/>
      <c r="G211" s="375"/>
      <c r="H211" s="369">
        <f t="shared" si="44"/>
        <v>48092000</v>
      </c>
      <c r="I211" s="259">
        <f t="shared" si="58"/>
        <v>0</v>
      </c>
      <c r="J211" s="259">
        <f t="shared" si="58"/>
        <v>48092000</v>
      </c>
      <c r="K211" s="259">
        <f t="shared" si="58"/>
        <v>0</v>
      </c>
      <c r="L211" s="77"/>
      <c r="M211" s="153"/>
      <c r="N211" s="102"/>
    </row>
    <row r="212" spans="1:14" ht="27" customHeight="1" thickBot="1" x14ac:dyDescent="0.25">
      <c r="A212" s="498" t="s">
        <v>384</v>
      </c>
      <c r="B212" s="498"/>
      <c r="C212" s="498"/>
      <c r="D212" s="498"/>
      <c r="E212" s="498"/>
      <c r="F212" s="498"/>
      <c r="G212" s="498"/>
      <c r="H212" s="498"/>
      <c r="I212" s="498"/>
      <c r="J212" s="498"/>
      <c r="K212" s="498"/>
      <c r="L212" s="77"/>
      <c r="M212" s="153"/>
      <c r="N212" s="102"/>
    </row>
    <row r="213" spans="1:14" ht="39" thickBot="1" x14ac:dyDescent="0.25">
      <c r="A213" s="10" t="s">
        <v>86</v>
      </c>
      <c r="B213" s="31"/>
      <c r="C213" s="31"/>
      <c r="D213" s="31"/>
      <c r="E213" s="31"/>
      <c r="F213" s="31"/>
      <c r="G213" s="31"/>
      <c r="H213" s="275">
        <f t="shared" ref="H213:H215" si="59">I213+J213+K213</f>
        <v>410961780.48000002</v>
      </c>
      <c r="I213" s="275">
        <f>I214+I217+I222+I227</f>
        <v>150390110.76999998</v>
      </c>
      <c r="J213" s="275">
        <f t="shared" ref="J213:K213" si="60">J214+J217+J222+J227</f>
        <v>260571669.71000001</v>
      </c>
      <c r="K213" s="275">
        <f t="shared" si="60"/>
        <v>0</v>
      </c>
      <c r="L213" s="77"/>
      <c r="M213" s="153"/>
      <c r="N213" s="102"/>
    </row>
    <row r="214" spans="1:14" ht="68.25" thickBot="1" x14ac:dyDescent="0.25">
      <c r="A214" s="55" t="s">
        <v>63</v>
      </c>
      <c r="B214" s="364"/>
      <c r="C214" s="365"/>
      <c r="D214" s="366"/>
      <c r="E214" s="367"/>
      <c r="F214" s="367"/>
      <c r="G214" s="367"/>
      <c r="H214" s="272">
        <f t="shared" si="59"/>
        <v>0</v>
      </c>
      <c r="I214" s="272">
        <f t="shared" ref="I214:K214" si="61">SUM(I215)</f>
        <v>0</v>
      </c>
      <c r="J214" s="272">
        <f t="shared" si="61"/>
        <v>0</v>
      </c>
      <c r="K214" s="272">
        <f t="shared" si="61"/>
        <v>0</v>
      </c>
      <c r="L214" s="77"/>
      <c r="M214" s="153"/>
      <c r="N214" s="102"/>
    </row>
    <row r="215" spans="1:14" ht="41.25" customHeight="1" x14ac:dyDescent="0.2">
      <c r="A215" s="94" t="s">
        <v>382</v>
      </c>
      <c r="B215" s="98" t="s">
        <v>108</v>
      </c>
      <c r="C215" s="89" t="s">
        <v>383</v>
      </c>
      <c r="D215" s="89" t="s">
        <v>385</v>
      </c>
      <c r="E215" s="107">
        <v>250928828.80000001</v>
      </c>
      <c r="F215" s="107">
        <v>0</v>
      </c>
      <c r="G215" s="107">
        <f>E215-F215</f>
        <v>250928828.80000001</v>
      </c>
      <c r="H215" s="40">
        <f t="shared" si="59"/>
        <v>0</v>
      </c>
      <c r="I215" s="40">
        <v>0</v>
      </c>
      <c r="J215" s="40">
        <v>0</v>
      </c>
      <c r="K215" s="40">
        <v>0</v>
      </c>
      <c r="L215" s="77"/>
      <c r="M215" s="153"/>
      <c r="N215" s="102"/>
    </row>
    <row r="216" spans="1:14" ht="39" thickBot="1" x14ac:dyDescent="0.25">
      <c r="A216" s="188" t="s">
        <v>170</v>
      </c>
      <c r="B216" s="204"/>
      <c r="C216" s="228"/>
      <c r="D216" s="228"/>
      <c r="E216" s="228"/>
      <c r="F216" s="228"/>
      <c r="G216" s="228"/>
      <c r="H216" s="253">
        <f t="shared" ref="H216" si="62">SUM(I216:K216)</f>
        <v>1904180</v>
      </c>
      <c r="I216" s="253">
        <v>1904180</v>
      </c>
      <c r="J216" s="29"/>
      <c r="K216" s="29"/>
      <c r="L216" s="77"/>
      <c r="M216" s="153"/>
      <c r="N216" s="102"/>
    </row>
    <row r="217" spans="1:14" ht="41.25" thickBot="1" x14ac:dyDescent="0.25">
      <c r="A217" s="55" t="s">
        <v>61</v>
      </c>
      <c r="B217" s="393"/>
      <c r="C217" s="227"/>
      <c r="D217" s="227"/>
      <c r="E217" s="227"/>
      <c r="F217" s="227"/>
      <c r="G217" s="227"/>
      <c r="H217" s="398">
        <f>I217+J217+K217</f>
        <v>17587237.57</v>
      </c>
      <c r="I217" s="398">
        <f>I218+I220</f>
        <v>12015567.859999999</v>
      </c>
      <c r="J217" s="398">
        <f t="shared" ref="J217:K217" si="63">J218</f>
        <v>5571669.7100000009</v>
      </c>
      <c r="K217" s="398">
        <f t="shared" si="63"/>
        <v>0</v>
      </c>
      <c r="L217" s="77"/>
      <c r="M217" s="153"/>
      <c r="N217" s="102"/>
    </row>
    <row r="218" spans="1:14" ht="51" x14ac:dyDescent="0.2">
      <c r="A218" s="236" t="s">
        <v>149</v>
      </c>
      <c r="B218" s="242" t="s">
        <v>108</v>
      </c>
      <c r="C218" s="289" t="s">
        <v>161</v>
      </c>
      <c r="D218" s="396" t="s">
        <v>80</v>
      </c>
      <c r="E218" s="249" t="s">
        <v>162</v>
      </c>
      <c r="F218" s="276"/>
      <c r="G218" s="249" t="s">
        <v>162</v>
      </c>
      <c r="H218" s="276">
        <f>I218+J218+K218</f>
        <v>17587237.57</v>
      </c>
      <c r="I218" s="276">
        <f>SUM(I219)</f>
        <v>12015567.859999999</v>
      </c>
      <c r="J218" s="276">
        <f>SUM(J219)</f>
        <v>5571669.7100000009</v>
      </c>
      <c r="K218" s="276">
        <f>SUM(K219)</f>
        <v>0</v>
      </c>
      <c r="L218" s="77"/>
      <c r="M218" s="153"/>
      <c r="N218" s="102"/>
    </row>
    <row r="219" spans="1:14" ht="26.25" thickBot="1" x14ac:dyDescent="0.25">
      <c r="A219" s="188" t="s">
        <v>76</v>
      </c>
      <c r="B219" s="314" t="s">
        <v>249</v>
      </c>
      <c r="C219" s="353"/>
      <c r="D219" s="303"/>
      <c r="E219" s="259"/>
      <c r="F219" s="248"/>
      <c r="G219" s="259"/>
      <c r="H219" s="248">
        <f>I219+J219+K219</f>
        <v>17587237.57</v>
      </c>
      <c r="I219" s="248">
        <f>4844147.29-5000-10000-2813579.43+10000000</f>
        <v>12015567.859999999</v>
      </c>
      <c r="J219" s="248">
        <f>15571669.71-10000000</f>
        <v>5571669.7100000009</v>
      </c>
      <c r="K219" s="248"/>
      <c r="L219" s="394" t="s">
        <v>653</v>
      </c>
      <c r="M219" s="395" t="s">
        <v>654</v>
      </c>
      <c r="N219" s="102"/>
    </row>
    <row r="220" spans="1:14" ht="51" x14ac:dyDescent="0.2">
      <c r="A220" s="236" t="s">
        <v>551</v>
      </c>
      <c r="B220" s="242" t="s">
        <v>108</v>
      </c>
      <c r="C220" s="289"/>
      <c r="D220" s="297" t="s">
        <v>83</v>
      </c>
      <c r="E220" s="249"/>
      <c r="F220" s="276"/>
      <c r="G220" s="249"/>
      <c r="H220" s="276">
        <f>I220+J220+K220</f>
        <v>10000000</v>
      </c>
      <c r="I220" s="276">
        <f>SUM(I221)</f>
        <v>0</v>
      </c>
      <c r="J220" s="276">
        <f>SUM(J221)</f>
        <v>10000000</v>
      </c>
      <c r="K220" s="276">
        <f>SUM(K221)</f>
        <v>0</v>
      </c>
      <c r="L220" s="394"/>
      <c r="M220" s="394"/>
      <c r="N220" s="102"/>
    </row>
    <row r="221" spans="1:14" ht="26.25" thickBot="1" x14ac:dyDescent="0.25">
      <c r="A221" s="188" t="s">
        <v>76</v>
      </c>
      <c r="B221" s="314" t="s">
        <v>249</v>
      </c>
      <c r="C221" s="298"/>
      <c r="D221" s="299"/>
      <c r="E221" s="300"/>
      <c r="F221" s="295"/>
      <c r="G221" s="300"/>
      <c r="H221" s="248">
        <f>I221+J221+K221</f>
        <v>10000000</v>
      </c>
      <c r="I221" s="248">
        <f>10000000-10000000</f>
        <v>0</v>
      </c>
      <c r="J221" s="248">
        <v>10000000</v>
      </c>
      <c r="K221" s="248"/>
      <c r="L221" s="394" t="s">
        <v>654</v>
      </c>
      <c r="M221" s="394" t="s">
        <v>653</v>
      </c>
      <c r="N221" s="102"/>
    </row>
    <row r="222" spans="1:14" ht="33.75" customHeight="1" thickBot="1" x14ac:dyDescent="0.25">
      <c r="A222" s="55" t="s">
        <v>60</v>
      </c>
      <c r="B222" s="364"/>
      <c r="C222" s="365"/>
      <c r="D222" s="366"/>
      <c r="E222" s="367"/>
      <c r="F222" s="367"/>
      <c r="G222" s="367"/>
      <c r="H222" s="272">
        <f t="shared" ref="H222:H230" si="64">I222+J222+K222</f>
        <v>138124542.91</v>
      </c>
      <c r="I222" s="272">
        <f>I223</f>
        <v>138124542.91</v>
      </c>
      <c r="J222" s="272">
        <f>J223</f>
        <v>0</v>
      </c>
      <c r="K222" s="272">
        <f>K223</f>
        <v>0</v>
      </c>
      <c r="L222" s="394"/>
      <c r="M222" s="395"/>
      <c r="N222" s="102"/>
    </row>
    <row r="223" spans="1:14" ht="51" x14ac:dyDescent="0.2">
      <c r="A223" s="323" t="s">
        <v>539</v>
      </c>
      <c r="B223" s="24" t="s">
        <v>112</v>
      </c>
      <c r="C223" s="154" t="s">
        <v>535</v>
      </c>
      <c r="D223" s="407" t="s">
        <v>109</v>
      </c>
      <c r="E223" s="191">
        <v>17123140.219999999</v>
      </c>
      <c r="F223" s="249"/>
      <c r="G223" s="191">
        <f>E223-F223</f>
        <v>17123140.219999999</v>
      </c>
      <c r="H223" s="28">
        <f t="shared" si="64"/>
        <v>138124542.91</v>
      </c>
      <c r="I223" s="28">
        <f>SUM(I224:I226)</f>
        <v>138124542.91</v>
      </c>
      <c r="J223" s="28">
        <f>SUM(J224:J226)</f>
        <v>0</v>
      </c>
      <c r="K223" s="28">
        <f>SUM(K224:K226)</f>
        <v>0</v>
      </c>
      <c r="L223" s="394"/>
      <c r="M223" s="395"/>
      <c r="N223" s="102"/>
    </row>
    <row r="224" spans="1:14" ht="25.5" x14ac:dyDescent="0.2">
      <c r="A224" s="408" t="s">
        <v>530</v>
      </c>
      <c r="B224" s="95" t="s">
        <v>531</v>
      </c>
      <c r="C224" s="358"/>
      <c r="D224" s="409"/>
      <c r="E224" s="9"/>
      <c r="F224" s="9"/>
      <c r="G224" s="9"/>
      <c r="H224" s="27">
        <f t="shared" si="64"/>
        <v>1381245.3299999998</v>
      </c>
      <c r="I224" s="108">
        <f>21506.3+149725.1+1148357.04+61656.89</f>
        <v>1381245.3299999998</v>
      </c>
      <c r="J224" s="27"/>
      <c r="K224" s="27"/>
      <c r="L224" s="394"/>
      <c r="M224" s="395"/>
      <c r="N224" s="102"/>
    </row>
    <row r="225" spans="1:14" ht="25.5" x14ac:dyDescent="0.2">
      <c r="A225" s="408" t="s">
        <v>532</v>
      </c>
      <c r="B225" s="95" t="s">
        <v>533</v>
      </c>
      <c r="C225" s="410"/>
      <c r="D225" s="411"/>
      <c r="E225" s="36"/>
      <c r="F225" s="36"/>
      <c r="G225" s="36"/>
      <c r="H225" s="27">
        <f t="shared" si="64"/>
        <v>38736600.689999998</v>
      </c>
      <c r="I225" s="27">
        <f>21291.24+14822785.17+5969774.18+10367750.1+7555000</f>
        <v>38736600.689999998</v>
      </c>
      <c r="J225" s="27"/>
      <c r="K225" s="27"/>
      <c r="L225" s="394"/>
      <c r="M225" s="395"/>
      <c r="N225" s="102"/>
    </row>
    <row r="226" spans="1:14" ht="41.25" customHeight="1" thickBot="1" x14ac:dyDescent="0.25">
      <c r="A226" s="188" t="s">
        <v>538</v>
      </c>
      <c r="B226" s="96" t="s">
        <v>534</v>
      </c>
      <c r="C226" s="412"/>
      <c r="D226" s="413"/>
      <c r="E226" s="376"/>
      <c r="F226" s="376"/>
      <c r="G226" s="376"/>
      <c r="H226" s="29">
        <f t="shared" si="64"/>
        <v>98006696.890000001</v>
      </c>
      <c r="I226" s="29">
        <f>2107832.41+106266614.58-10367750.1</f>
        <v>98006696.890000001</v>
      </c>
      <c r="J226" s="262"/>
      <c r="K226" s="262"/>
      <c r="L226" s="394"/>
      <c r="M226" s="395"/>
      <c r="N226" s="102"/>
    </row>
    <row r="227" spans="1:14" ht="54.75" thickBot="1" x14ac:dyDescent="0.25">
      <c r="A227" s="55" t="s">
        <v>597</v>
      </c>
      <c r="B227" s="364"/>
      <c r="C227" s="365"/>
      <c r="D227" s="366"/>
      <c r="E227" s="367"/>
      <c r="F227" s="367"/>
      <c r="G227" s="367"/>
      <c r="H227" s="272">
        <f t="shared" si="64"/>
        <v>255250000</v>
      </c>
      <c r="I227" s="272">
        <f>I228</f>
        <v>250000</v>
      </c>
      <c r="J227" s="272">
        <f>J228</f>
        <v>255000000</v>
      </c>
      <c r="K227" s="272">
        <f>K228</f>
        <v>0</v>
      </c>
      <c r="L227" s="394"/>
      <c r="M227" s="395"/>
      <c r="N227" s="102"/>
    </row>
    <row r="228" spans="1:14" ht="51" x14ac:dyDescent="0.2">
      <c r="A228" s="323" t="s">
        <v>598</v>
      </c>
      <c r="B228" s="327" t="s">
        <v>100</v>
      </c>
      <c r="C228" s="427" t="s">
        <v>628</v>
      </c>
      <c r="D228" s="407" t="s">
        <v>83</v>
      </c>
      <c r="E228" s="27">
        <v>255250000</v>
      </c>
      <c r="F228" s="27"/>
      <c r="G228" s="27">
        <f>E228-F228</f>
        <v>255250000</v>
      </c>
      <c r="H228" s="27">
        <f t="shared" si="64"/>
        <v>255250000</v>
      </c>
      <c r="I228" s="28">
        <f>SUM(I229:I230)</f>
        <v>250000</v>
      </c>
      <c r="J228" s="28">
        <f t="shared" ref="J228:K228" si="65">SUM(J229:J230)</f>
        <v>255000000</v>
      </c>
      <c r="K228" s="28">
        <f t="shared" si="65"/>
        <v>0</v>
      </c>
      <c r="L228" s="394"/>
      <c r="M228" s="395"/>
      <c r="N228" s="102"/>
    </row>
    <row r="229" spans="1:14" ht="25.5" x14ac:dyDescent="0.2">
      <c r="A229" s="186" t="s">
        <v>599</v>
      </c>
      <c r="B229" s="192" t="s">
        <v>249</v>
      </c>
      <c r="C229" s="410"/>
      <c r="D229" s="411"/>
      <c r="E229" s="36"/>
      <c r="F229" s="36"/>
      <c r="G229" s="36"/>
      <c r="H229" s="27">
        <f t="shared" si="64"/>
        <v>250000</v>
      </c>
      <c r="I229" s="27">
        <v>250000</v>
      </c>
      <c r="J229" s="27"/>
      <c r="K229" s="27"/>
      <c r="L229" s="394"/>
      <c r="M229" s="395"/>
      <c r="N229" s="102"/>
    </row>
    <row r="230" spans="1:14" ht="26.25" thickBot="1" x14ac:dyDescent="0.25">
      <c r="A230" s="188" t="s">
        <v>600</v>
      </c>
      <c r="B230" s="314" t="s">
        <v>601</v>
      </c>
      <c r="C230" s="453"/>
      <c r="D230" s="454"/>
      <c r="E230" s="455"/>
      <c r="F230" s="455"/>
      <c r="G230" s="455"/>
      <c r="H230" s="27">
        <f t="shared" si="64"/>
        <v>255000000</v>
      </c>
      <c r="I230" s="262"/>
      <c r="J230" s="262">
        <v>255000000</v>
      </c>
      <c r="K230" s="262"/>
      <c r="L230" s="394"/>
      <c r="M230" s="395"/>
      <c r="N230" s="102"/>
    </row>
    <row r="231" spans="1:14" ht="25.5" customHeight="1" thickBot="1" x14ac:dyDescent="0.25">
      <c r="A231" s="450" t="s">
        <v>492</v>
      </c>
      <c r="B231" s="49"/>
      <c r="C231" s="49"/>
      <c r="D231" s="49"/>
      <c r="E231" s="49"/>
      <c r="F231" s="49"/>
      <c r="G231" s="49"/>
      <c r="H231" s="71">
        <f>I231+J231+K231</f>
        <v>420961780.47999996</v>
      </c>
      <c r="I231" s="71">
        <f>SUM(I232:I237)</f>
        <v>150390110.76999998</v>
      </c>
      <c r="J231" s="71">
        <f t="shared" ref="J231:K231" si="66">SUM(J232:J237)</f>
        <v>270571669.70999998</v>
      </c>
      <c r="K231" s="71">
        <f t="shared" si="66"/>
        <v>0</v>
      </c>
      <c r="L231" s="394"/>
      <c r="M231" s="395"/>
      <c r="N231" s="102"/>
    </row>
    <row r="232" spans="1:14" ht="25.5" customHeight="1" x14ac:dyDescent="0.2">
      <c r="A232" s="399" t="s">
        <v>530</v>
      </c>
      <c r="B232" s="98" t="s">
        <v>536</v>
      </c>
      <c r="C232" s="236"/>
      <c r="D232" s="236"/>
      <c r="E232" s="236"/>
      <c r="F232" s="236"/>
      <c r="G232" s="236"/>
      <c r="H232" s="276">
        <f t="shared" ref="H232:H234" si="67">I232+J232+K232</f>
        <v>1381245.3299999998</v>
      </c>
      <c r="I232" s="249">
        <f t="shared" ref="I232:K234" si="68">I224</f>
        <v>1381245.3299999998</v>
      </c>
      <c r="J232" s="249">
        <f t="shared" si="68"/>
        <v>0</v>
      </c>
      <c r="K232" s="249">
        <f t="shared" si="68"/>
        <v>0</v>
      </c>
      <c r="L232" s="394"/>
      <c r="M232" s="395"/>
      <c r="N232" s="102"/>
    </row>
    <row r="233" spans="1:14" ht="25.5" customHeight="1" x14ac:dyDescent="0.2">
      <c r="A233" s="186" t="s">
        <v>532</v>
      </c>
      <c r="B233" s="95" t="s">
        <v>536</v>
      </c>
      <c r="C233" s="283"/>
      <c r="D233" s="283"/>
      <c r="E233" s="283"/>
      <c r="F233" s="283"/>
      <c r="G233" s="283"/>
      <c r="H233" s="246">
        <f t="shared" si="67"/>
        <v>38736600.689999998</v>
      </c>
      <c r="I233" s="291">
        <f t="shared" si="68"/>
        <v>38736600.689999998</v>
      </c>
      <c r="J233" s="291">
        <f t="shared" si="68"/>
        <v>0</v>
      </c>
      <c r="K233" s="291">
        <f t="shared" si="68"/>
        <v>0</v>
      </c>
      <c r="L233" s="394"/>
      <c r="M233" s="395"/>
      <c r="N233" s="102"/>
    </row>
    <row r="234" spans="1:14" ht="39.75" customHeight="1" x14ac:dyDescent="0.2">
      <c r="A234" s="186" t="s">
        <v>538</v>
      </c>
      <c r="B234" s="95" t="s">
        <v>537</v>
      </c>
      <c r="C234" s="283"/>
      <c r="D234" s="283"/>
      <c r="E234" s="283"/>
      <c r="F234" s="283"/>
      <c r="G234" s="283"/>
      <c r="H234" s="246">
        <f t="shared" si="67"/>
        <v>98006696.890000001</v>
      </c>
      <c r="I234" s="291">
        <f t="shared" si="68"/>
        <v>98006696.890000001</v>
      </c>
      <c r="J234" s="291">
        <f t="shared" si="68"/>
        <v>0</v>
      </c>
      <c r="K234" s="291">
        <f t="shared" si="68"/>
        <v>0</v>
      </c>
      <c r="L234" s="394"/>
      <c r="M234" s="395"/>
      <c r="N234" s="102"/>
    </row>
    <row r="235" spans="1:14" ht="25.5" x14ac:dyDescent="0.2">
      <c r="A235" s="312" t="s">
        <v>76</v>
      </c>
      <c r="B235" s="313" t="s">
        <v>249</v>
      </c>
      <c r="C235" s="456"/>
      <c r="D235" s="457"/>
      <c r="E235" s="369"/>
      <c r="F235" s="296"/>
      <c r="G235" s="369"/>
      <c r="H235" s="296">
        <f>I235+J235+K235</f>
        <v>27587237.57</v>
      </c>
      <c r="I235" s="296">
        <f>I219+I221</f>
        <v>12015567.859999999</v>
      </c>
      <c r="J235" s="296">
        <f>J219+J221</f>
        <v>15571669.710000001</v>
      </c>
      <c r="K235" s="296">
        <f>K219+K221</f>
        <v>0</v>
      </c>
      <c r="L235" s="394"/>
      <c r="M235" s="395"/>
      <c r="N235" s="102"/>
    </row>
    <row r="236" spans="1:14" ht="25.5" x14ac:dyDescent="0.2">
      <c r="A236" s="186" t="s">
        <v>599</v>
      </c>
      <c r="B236" s="192" t="s">
        <v>249</v>
      </c>
      <c r="C236" s="441"/>
      <c r="D236" s="458"/>
      <c r="E236" s="291"/>
      <c r="F236" s="246"/>
      <c r="G236" s="291"/>
      <c r="H236" s="296">
        <f t="shared" ref="H236:H237" si="69">I236+J236+K236</f>
        <v>250000</v>
      </c>
      <c r="I236" s="246">
        <f>I229</f>
        <v>250000</v>
      </c>
      <c r="J236" s="246">
        <f t="shared" ref="J236:K237" si="70">J229</f>
        <v>0</v>
      </c>
      <c r="K236" s="246">
        <f t="shared" si="70"/>
        <v>0</v>
      </c>
      <c r="L236" s="394"/>
      <c r="M236" s="395"/>
      <c r="N236" s="102"/>
    </row>
    <row r="237" spans="1:14" ht="26.25" thickBot="1" x14ac:dyDescent="0.25">
      <c r="A237" s="188" t="s">
        <v>600</v>
      </c>
      <c r="B237" s="314" t="s">
        <v>601</v>
      </c>
      <c r="C237" s="298"/>
      <c r="D237" s="299"/>
      <c r="E237" s="300"/>
      <c r="F237" s="295"/>
      <c r="G237" s="300"/>
      <c r="H237" s="296">
        <f t="shared" si="69"/>
        <v>255000000</v>
      </c>
      <c r="I237" s="295">
        <f>I230</f>
        <v>0</v>
      </c>
      <c r="J237" s="295">
        <f t="shared" si="70"/>
        <v>255000000</v>
      </c>
      <c r="K237" s="295">
        <f t="shared" si="70"/>
        <v>0</v>
      </c>
      <c r="L237" s="394"/>
      <c r="M237" s="395"/>
      <c r="N237" s="102"/>
    </row>
    <row r="238" spans="1:14" ht="27.75" customHeight="1" thickBot="1" x14ac:dyDescent="0.25">
      <c r="A238" s="449" t="s">
        <v>129</v>
      </c>
      <c r="B238" s="449"/>
      <c r="C238" s="449"/>
      <c r="D238" s="449"/>
      <c r="E238" s="449"/>
      <c r="F238" s="449"/>
      <c r="G238" s="449"/>
      <c r="H238" s="39">
        <f t="shared" si="44"/>
        <v>3180332920.7499995</v>
      </c>
      <c r="I238" s="39">
        <f>SUM(I239:I306)</f>
        <v>2553950335.4699993</v>
      </c>
      <c r="J238" s="39">
        <f t="shared" ref="J238:K238" si="71">SUM(J239:J306)</f>
        <v>523236663.76999998</v>
      </c>
      <c r="K238" s="39">
        <f t="shared" si="71"/>
        <v>103145921.51000001</v>
      </c>
      <c r="L238" s="3">
        <f>H86+H178+H213</f>
        <v>3170332920.75</v>
      </c>
      <c r="M238" s="114">
        <f>SUM(H239:H306)</f>
        <v>3180332920.7499995</v>
      </c>
    </row>
    <row r="239" spans="1:14" ht="27.75" customHeight="1" x14ac:dyDescent="0.2">
      <c r="A239" s="159" t="s">
        <v>72</v>
      </c>
      <c r="B239" s="34" t="s">
        <v>252</v>
      </c>
      <c r="C239" s="182"/>
      <c r="D239" s="182"/>
      <c r="E239" s="182"/>
      <c r="F239" s="182"/>
      <c r="G239" s="182"/>
      <c r="H239" s="40">
        <f t="shared" si="30"/>
        <v>4226466.88</v>
      </c>
      <c r="I239" s="107">
        <f t="shared" ref="I239:K254" si="72">I87</f>
        <v>3626466.88</v>
      </c>
      <c r="J239" s="107">
        <f t="shared" si="72"/>
        <v>600000</v>
      </c>
      <c r="K239" s="107">
        <f t="shared" si="72"/>
        <v>0</v>
      </c>
      <c r="L239" s="3"/>
      <c r="M239" s="114"/>
    </row>
    <row r="240" spans="1:14" ht="27.75" customHeight="1" x14ac:dyDescent="0.2">
      <c r="A240" s="75" t="s">
        <v>72</v>
      </c>
      <c r="B240" s="24" t="s">
        <v>529</v>
      </c>
      <c r="C240" s="406"/>
      <c r="D240" s="406"/>
      <c r="E240" s="406"/>
      <c r="F240" s="406"/>
      <c r="G240" s="406"/>
      <c r="H240" s="27">
        <f t="shared" si="30"/>
        <v>1718430</v>
      </c>
      <c r="I240" s="152">
        <f t="shared" si="72"/>
        <v>1718430</v>
      </c>
      <c r="J240" s="152">
        <f t="shared" si="72"/>
        <v>0</v>
      </c>
      <c r="K240" s="152">
        <f t="shared" si="72"/>
        <v>0</v>
      </c>
      <c r="L240" s="3"/>
      <c r="M240" s="114"/>
    </row>
    <row r="241" spans="1:13" ht="27.75" customHeight="1" x14ac:dyDescent="0.2">
      <c r="A241" s="186" t="s">
        <v>74</v>
      </c>
      <c r="B241" s="192" t="s">
        <v>546</v>
      </c>
      <c r="C241" s="406"/>
      <c r="D241" s="406"/>
      <c r="E241" s="406"/>
      <c r="F241" s="406"/>
      <c r="G241" s="406"/>
      <c r="H241" s="27">
        <f t="shared" si="30"/>
        <v>653009.42000000004</v>
      </c>
      <c r="I241" s="152">
        <f t="shared" si="72"/>
        <v>653009.42000000004</v>
      </c>
      <c r="J241" s="152">
        <f t="shared" si="72"/>
        <v>0</v>
      </c>
      <c r="K241" s="152">
        <f t="shared" si="72"/>
        <v>0</v>
      </c>
      <c r="L241" s="3"/>
      <c r="M241" s="114"/>
    </row>
    <row r="242" spans="1:13" ht="27.75" customHeight="1" x14ac:dyDescent="0.2">
      <c r="A242" s="186" t="s">
        <v>575</v>
      </c>
      <c r="B242" s="192" t="s">
        <v>546</v>
      </c>
      <c r="C242" s="406"/>
      <c r="D242" s="406"/>
      <c r="E242" s="406"/>
      <c r="F242" s="406"/>
      <c r="G242" s="406"/>
      <c r="H242" s="27">
        <f t="shared" si="30"/>
        <v>2459337.37</v>
      </c>
      <c r="I242" s="152">
        <f t="shared" si="72"/>
        <v>2459337.37</v>
      </c>
      <c r="J242" s="152">
        <f t="shared" si="72"/>
        <v>0</v>
      </c>
      <c r="K242" s="152">
        <f t="shared" si="72"/>
        <v>0</v>
      </c>
      <c r="L242" s="3"/>
      <c r="M242" s="114"/>
    </row>
    <row r="243" spans="1:13" ht="27.75" customHeight="1" x14ac:dyDescent="0.2">
      <c r="A243" s="186" t="s">
        <v>75</v>
      </c>
      <c r="B243" s="192" t="s">
        <v>553</v>
      </c>
      <c r="C243" s="406"/>
      <c r="D243" s="406"/>
      <c r="E243" s="406"/>
      <c r="F243" s="406"/>
      <c r="G243" s="406"/>
      <c r="H243" s="27">
        <f t="shared" si="30"/>
        <v>64647932.450000003</v>
      </c>
      <c r="I243" s="152">
        <f t="shared" si="72"/>
        <v>64647932.450000003</v>
      </c>
      <c r="J243" s="152">
        <f t="shared" si="72"/>
        <v>0</v>
      </c>
      <c r="K243" s="152">
        <f t="shared" si="72"/>
        <v>0</v>
      </c>
      <c r="L243" s="3"/>
      <c r="M243" s="114"/>
    </row>
    <row r="244" spans="1:13" ht="27.75" customHeight="1" x14ac:dyDescent="0.2">
      <c r="A244" s="186" t="s">
        <v>574</v>
      </c>
      <c r="B244" s="192" t="s">
        <v>553</v>
      </c>
      <c r="C244" s="406"/>
      <c r="D244" s="406"/>
      <c r="E244" s="406"/>
      <c r="F244" s="406"/>
      <c r="G244" s="406"/>
      <c r="H244" s="27">
        <f t="shared" si="30"/>
        <v>243474400</v>
      </c>
      <c r="I244" s="152">
        <f t="shared" si="72"/>
        <v>243474400</v>
      </c>
      <c r="J244" s="152">
        <f t="shared" si="72"/>
        <v>0</v>
      </c>
      <c r="K244" s="152">
        <f t="shared" si="72"/>
        <v>0</v>
      </c>
      <c r="L244" s="3"/>
      <c r="M244" s="114"/>
    </row>
    <row r="245" spans="1:13" ht="25.5" x14ac:dyDescent="0.2">
      <c r="A245" s="9" t="s">
        <v>74</v>
      </c>
      <c r="B245" s="95" t="s">
        <v>239</v>
      </c>
      <c r="C245" s="36"/>
      <c r="D245" s="36"/>
      <c r="E245" s="36"/>
      <c r="F245" s="36"/>
      <c r="G245" s="36"/>
      <c r="H245" s="27">
        <f t="shared" si="30"/>
        <v>3853737.21</v>
      </c>
      <c r="I245" s="27">
        <f t="shared" si="72"/>
        <v>3319240.1</v>
      </c>
      <c r="J245" s="27">
        <f t="shared" si="72"/>
        <v>534497.10999999987</v>
      </c>
      <c r="K245" s="27">
        <f t="shared" si="72"/>
        <v>0</v>
      </c>
      <c r="M245" s="102"/>
    </row>
    <row r="246" spans="1:13" ht="25.5" x14ac:dyDescent="0.2">
      <c r="A246" s="9" t="s">
        <v>75</v>
      </c>
      <c r="B246" s="160" t="s">
        <v>240</v>
      </c>
      <c r="C246" s="37"/>
      <c r="D246" s="37"/>
      <c r="E246" s="37"/>
      <c r="F246" s="37"/>
      <c r="G246" s="37"/>
      <c r="H246" s="28">
        <f t="shared" si="30"/>
        <v>99715783.729999989</v>
      </c>
      <c r="I246" s="28">
        <f t="shared" si="72"/>
        <v>46800570</v>
      </c>
      <c r="J246" s="28">
        <f t="shared" si="72"/>
        <v>52915213.729999997</v>
      </c>
      <c r="K246" s="28">
        <f t="shared" si="72"/>
        <v>0</v>
      </c>
      <c r="M246" s="102"/>
    </row>
    <row r="247" spans="1:13" ht="25.5" x14ac:dyDescent="0.2">
      <c r="A247" s="240" t="s">
        <v>35</v>
      </c>
      <c r="B247" s="93" t="s">
        <v>237</v>
      </c>
      <c r="C247" s="37"/>
      <c r="D247" s="37"/>
      <c r="E247" s="37"/>
      <c r="F247" s="37"/>
      <c r="G247" s="37"/>
      <c r="H247" s="27">
        <f t="shared" si="30"/>
        <v>281804200</v>
      </c>
      <c r="I247" s="28">
        <f t="shared" si="72"/>
        <v>281804200</v>
      </c>
      <c r="J247" s="28">
        <f t="shared" si="72"/>
        <v>0</v>
      </c>
      <c r="K247" s="28">
        <f t="shared" si="72"/>
        <v>0</v>
      </c>
      <c r="M247" s="102"/>
    </row>
    <row r="248" spans="1:13" ht="25.5" x14ac:dyDescent="0.2">
      <c r="A248" s="186" t="s">
        <v>511</v>
      </c>
      <c r="B248" s="192" t="s">
        <v>523</v>
      </c>
      <c r="C248" s="37"/>
      <c r="D248" s="37"/>
      <c r="E248" s="37"/>
      <c r="F248" s="37"/>
      <c r="G248" s="37"/>
      <c r="H248" s="27">
        <f t="shared" si="30"/>
        <v>0</v>
      </c>
      <c r="I248" s="28">
        <f t="shared" si="72"/>
        <v>0</v>
      </c>
      <c r="J248" s="28">
        <f t="shared" si="72"/>
        <v>0</v>
      </c>
      <c r="K248" s="28">
        <f t="shared" si="72"/>
        <v>0</v>
      </c>
    </row>
    <row r="249" spans="1:13" ht="25.5" x14ac:dyDescent="0.2">
      <c r="A249" s="186" t="s">
        <v>560</v>
      </c>
      <c r="B249" s="192" t="s">
        <v>523</v>
      </c>
      <c r="C249" s="37"/>
      <c r="D249" s="37"/>
      <c r="E249" s="37"/>
      <c r="F249" s="37"/>
      <c r="G249" s="37"/>
      <c r="H249" s="27">
        <f t="shared" si="30"/>
        <v>9158344.4499999993</v>
      </c>
      <c r="I249" s="28">
        <f t="shared" si="72"/>
        <v>9158344.4499999993</v>
      </c>
      <c r="J249" s="28">
        <f t="shared" si="72"/>
        <v>0</v>
      </c>
      <c r="K249" s="28">
        <f t="shared" si="72"/>
        <v>0</v>
      </c>
    </row>
    <row r="250" spans="1:13" ht="25.5" x14ac:dyDescent="0.2">
      <c r="A250" s="186" t="s">
        <v>559</v>
      </c>
      <c r="B250" s="192" t="s">
        <v>474</v>
      </c>
      <c r="C250" s="36"/>
      <c r="D250" s="36"/>
      <c r="E250" s="36"/>
      <c r="F250" s="36"/>
      <c r="G250" s="36"/>
      <c r="H250" s="27">
        <f t="shared" si="30"/>
        <v>906676100</v>
      </c>
      <c r="I250" s="27">
        <f t="shared" si="72"/>
        <v>906676100</v>
      </c>
      <c r="J250" s="27">
        <f t="shared" si="72"/>
        <v>0</v>
      </c>
      <c r="K250" s="27">
        <f t="shared" si="72"/>
        <v>0</v>
      </c>
    </row>
    <row r="251" spans="1:13" ht="25.5" x14ac:dyDescent="0.2">
      <c r="A251" s="186" t="s">
        <v>32</v>
      </c>
      <c r="B251" s="192" t="s">
        <v>474</v>
      </c>
      <c r="C251" s="36"/>
      <c r="D251" s="36"/>
      <c r="E251" s="36"/>
      <c r="F251" s="36"/>
      <c r="G251" s="36"/>
      <c r="H251" s="27">
        <f t="shared" si="30"/>
        <v>0</v>
      </c>
      <c r="I251" s="27">
        <f t="shared" si="72"/>
        <v>0</v>
      </c>
      <c r="J251" s="27">
        <f t="shared" si="72"/>
        <v>0</v>
      </c>
      <c r="K251" s="27">
        <f t="shared" si="72"/>
        <v>0</v>
      </c>
    </row>
    <row r="252" spans="1:13" ht="25.5" x14ac:dyDescent="0.2">
      <c r="A252" s="99" t="s">
        <v>261</v>
      </c>
      <c r="B252" s="95" t="s">
        <v>260</v>
      </c>
      <c r="C252" s="36"/>
      <c r="D252" s="36"/>
      <c r="E252" s="36"/>
      <c r="F252" s="36"/>
      <c r="G252" s="36"/>
      <c r="H252" s="27">
        <f t="shared" si="30"/>
        <v>304246.68</v>
      </c>
      <c r="I252" s="27">
        <f t="shared" si="72"/>
        <v>304246.68</v>
      </c>
      <c r="J252" s="27">
        <f t="shared" si="72"/>
        <v>0</v>
      </c>
      <c r="K252" s="27">
        <f t="shared" si="72"/>
        <v>0</v>
      </c>
    </row>
    <row r="253" spans="1:13" ht="25.5" x14ac:dyDescent="0.2">
      <c r="A253" s="186" t="s">
        <v>261</v>
      </c>
      <c r="B253" s="192" t="s">
        <v>263</v>
      </c>
      <c r="C253" s="36"/>
      <c r="D253" s="36"/>
      <c r="E253" s="36"/>
      <c r="F253" s="36"/>
      <c r="G253" s="36"/>
      <c r="H253" s="27">
        <f t="shared" si="30"/>
        <v>262700.5</v>
      </c>
      <c r="I253" s="27">
        <f t="shared" si="72"/>
        <v>262700.5</v>
      </c>
      <c r="J253" s="27">
        <f t="shared" si="72"/>
        <v>0</v>
      </c>
      <c r="K253" s="27">
        <f t="shared" si="72"/>
        <v>0</v>
      </c>
    </row>
    <row r="254" spans="1:13" ht="25.5" x14ac:dyDescent="0.2">
      <c r="A254" s="312" t="s">
        <v>373</v>
      </c>
      <c r="B254" s="192" t="s">
        <v>263</v>
      </c>
      <c r="C254" s="36"/>
      <c r="D254" s="36"/>
      <c r="E254" s="36"/>
      <c r="F254" s="36"/>
      <c r="G254" s="36"/>
      <c r="H254" s="27">
        <f t="shared" si="30"/>
        <v>26007349.760000002</v>
      </c>
      <c r="I254" s="27">
        <f t="shared" si="72"/>
        <v>26007349.760000002</v>
      </c>
      <c r="J254" s="27">
        <f t="shared" si="72"/>
        <v>0</v>
      </c>
      <c r="K254" s="27">
        <f t="shared" si="72"/>
        <v>0</v>
      </c>
    </row>
    <row r="255" spans="1:13" ht="25.5" x14ac:dyDescent="0.2">
      <c r="A255" s="186" t="s">
        <v>261</v>
      </c>
      <c r="B255" s="192" t="s">
        <v>269</v>
      </c>
      <c r="C255" s="36"/>
      <c r="D255" s="36"/>
      <c r="E255" s="36"/>
      <c r="F255" s="36"/>
      <c r="G255" s="36"/>
      <c r="H255" s="27">
        <f t="shared" si="30"/>
        <v>72253.84</v>
      </c>
      <c r="I255" s="27">
        <f t="shared" ref="I255:K262" si="73">I103</f>
        <v>72253.84</v>
      </c>
      <c r="J255" s="27">
        <f t="shared" si="73"/>
        <v>0</v>
      </c>
      <c r="K255" s="27">
        <f t="shared" si="73"/>
        <v>0</v>
      </c>
    </row>
    <row r="256" spans="1:13" ht="25.5" x14ac:dyDescent="0.2">
      <c r="A256" s="186" t="s">
        <v>226</v>
      </c>
      <c r="B256" s="192" t="s">
        <v>364</v>
      </c>
      <c r="C256" s="36"/>
      <c r="D256" s="36"/>
      <c r="E256" s="36"/>
      <c r="F256" s="36"/>
      <c r="G256" s="36"/>
      <c r="H256" s="27">
        <f t="shared" si="30"/>
        <v>0</v>
      </c>
      <c r="I256" s="27">
        <f t="shared" si="73"/>
        <v>0</v>
      </c>
      <c r="J256" s="27">
        <f t="shared" si="73"/>
        <v>0</v>
      </c>
      <c r="K256" s="27">
        <f t="shared" si="73"/>
        <v>0</v>
      </c>
    </row>
    <row r="257" spans="1:12" ht="25.5" x14ac:dyDescent="0.2">
      <c r="A257" s="186" t="s">
        <v>227</v>
      </c>
      <c r="B257" s="192" t="s">
        <v>364</v>
      </c>
      <c r="C257" s="36"/>
      <c r="D257" s="36"/>
      <c r="E257" s="36"/>
      <c r="F257" s="36"/>
      <c r="G257" s="36"/>
      <c r="H257" s="27">
        <f t="shared" si="30"/>
        <v>0</v>
      </c>
      <c r="I257" s="27">
        <f t="shared" si="73"/>
        <v>0</v>
      </c>
      <c r="J257" s="27">
        <f t="shared" si="73"/>
        <v>0</v>
      </c>
      <c r="K257" s="27">
        <f t="shared" si="73"/>
        <v>0</v>
      </c>
    </row>
    <row r="258" spans="1:12" ht="25.5" x14ac:dyDescent="0.2">
      <c r="A258" s="186" t="s">
        <v>228</v>
      </c>
      <c r="B258" s="192" t="s">
        <v>364</v>
      </c>
      <c r="C258" s="36"/>
      <c r="D258" s="36"/>
      <c r="E258" s="36"/>
      <c r="F258" s="36"/>
      <c r="G258" s="36"/>
      <c r="H258" s="27">
        <f t="shared" si="30"/>
        <v>0</v>
      </c>
      <c r="I258" s="27">
        <f t="shared" si="73"/>
        <v>0</v>
      </c>
      <c r="J258" s="27">
        <f t="shared" si="73"/>
        <v>0</v>
      </c>
      <c r="K258" s="27">
        <f t="shared" si="73"/>
        <v>0</v>
      </c>
    </row>
    <row r="259" spans="1:12" ht="25.5" x14ac:dyDescent="0.2">
      <c r="A259" s="186" t="s">
        <v>266</v>
      </c>
      <c r="B259" s="192" t="s">
        <v>381</v>
      </c>
      <c r="C259" s="36"/>
      <c r="D259" s="36"/>
      <c r="E259" s="36"/>
      <c r="F259" s="36"/>
      <c r="G259" s="36"/>
      <c r="H259" s="27">
        <f t="shared" si="30"/>
        <v>4514480.18</v>
      </c>
      <c r="I259" s="27">
        <f t="shared" si="73"/>
        <v>4514480.18</v>
      </c>
      <c r="J259" s="27">
        <f t="shared" si="73"/>
        <v>0</v>
      </c>
      <c r="K259" s="27">
        <f t="shared" si="73"/>
        <v>0</v>
      </c>
      <c r="L259" s="402"/>
    </row>
    <row r="260" spans="1:12" ht="25.5" x14ac:dyDescent="0.2">
      <c r="A260" s="187" t="s">
        <v>371</v>
      </c>
      <c r="B260" s="311" t="s">
        <v>381</v>
      </c>
      <c r="C260" s="37"/>
      <c r="D260" s="37"/>
      <c r="E260" s="37"/>
      <c r="F260" s="37"/>
      <c r="G260" s="37"/>
      <c r="H260" s="28">
        <f t="shared" si="30"/>
        <v>85775123.340000004</v>
      </c>
      <c r="I260" s="28">
        <f t="shared" si="73"/>
        <v>85775123.340000004</v>
      </c>
      <c r="J260" s="28">
        <f t="shared" si="73"/>
        <v>0</v>
      </c>
      <c r="K260" s="28">
        <f t="shared" si="73"/>
        <v>0</v>
      </c>
    </row>
    <row r="261" spans="1:12" ht="25.5" x14ac:dyDescent="0.2">
      <c r="A261" s="186" t="s">
        <v>266</v>
      </c>
      <c r="B261" s="192" t="s">
        <v>577</v>
      </c>
      <c r="C261" s="37"/>
      <c r="D261" s="37"/>
      <c r="E261" s="37"/>
      <c r="F261" s="37"/>
      <c r="G261" s="37"/>
      <c r="H261" s="28">
        <f t="shared" si="30"/>
        <v>9367822.4000000004</v>
      </c>
      <c r="I261" s="28">
        <f t="shared" si="73"/>
        <v>105263.16</v>
      </c>
      <c r="J261" s="28">
        <f t="shared" si="73"/>
        <v>4105263.16</v>
      </c>
      <c r="K261" s="28">
        <f t="shared" si="73"/>
        <v>5157296.08</v>
      </c>
    </row>
    <row r="262" spans="1:12" ht="25.5" x14ac:dyDescent="0.2">
      <c r="A262" s="186" t="s">
        <v>592</v>
      </c>
      <c r="B262" s="192" t="s">
        <v>577</v>
      </c>
      <c r="C262" s="37"/>
      <c r="D262" s="37"/>
      <c r="E262" s="37"/>
      <c r="F262" s="37"/>
      <c r="G262" s="37"/>
      <c r="H262" s="28">
        <f t="shared" si="30"/>
        <v>177988625.43000001</v>
      </c>
      <c r="I262" s="28">
        <f t="shared" si="73"/>
        <v>2000000</v>
      </c>
      <c r="J262" s="28">
        <f t="shared" si="73"/>
        <v>78000000</v>
      </c>
      <c r="K262" s="28">
        <f t="shared" si="73"/>
        <v>97988625.430000007</v>
      </c>
    </row>
    <row r="263" spans="1:12" ht="25.5" x14ac:dyDescent="0.2">
      <c r="A263" s="186" t="s">
        <v>530</v>
      </c>
      <c r="B263" s="95" t="s">
        <v>536</v>
      </c>
      <c r="C263" s="36"/>
      <c r="D263" s="36"/>
      <c r="E263" s="36"/>
      <c r="F263" s="36"/>
      <c r="G263" s="36"/>
      <c r="H263" s="27">
        <f t="shared" si="30"/>
        <v>1381245.3299999998</v>
      </c>
      <c r="I263" s="27">
        <f t="shared" ref="I263:K265" si="74">I232</f>
        <v>1381245.3299999998</v>
      </c>
      <c r="J263" s="27">
        <f t="shared" si="74"/>
        <v>0</v>
      </c>
      <c r="K263" s="27">
        <f t="shared" si="74"/>
        <v>0</v>
      </c>
    </row>
    <row r="264" spans="1:12" ht="25.5" x14ac:dyDescent="0.2">
      <c r="A264" s="186" t="s">
        <v>532</v>
      </c>
      <c r="B264" s="95" t="s">
        <v>536</v>
      </c>
      <c r="C264" s="36"/>
      <c r="D264" s="36"/>
      <c r="E264" s="36"/>
      <c r="F264" s="36"/>
      <c r="G264" s="36"/>
      <c r="H264" s="27">
        <f t="shared" si="30"/>
        <v>38736600.689999998</v>
      </c>
      <c r="I264" s="27">
        <f t="shared" si="74"/>
        <v>38736600.689999998</v>
      </c>
      <c r="J264" s="27">
        <f t="shared" si="74"/>
        <v>0</v>
      </c>
      <c r="K264" s="27">
        <f t="shared" si="74"/>
        <v>0</v>
      </c>
    </row>
    <row r="265" spans="1:12" ht="42.75" customHeight="1" x14ac:dyDescent="0.2">
      <c r="A265" s="186" t="s">
        <v>540</v>
      </c>
      <c r="B265" s="95" t="s">
        <v>537</v>
      </c>
      <c r="C265" s="37"/>
      <c r="D265" s="37"/>
      <c r="E265" s="37"/>
      <c r="F265" s="37"/>
      <c r="G265" s="37"/>
      <c r="H265" s="28">
        <f t="shared" si="30"/>
        <v>98006696.890000001</v>
      </c>
      <c r="I265" s="28">
        <f t="shared" si="74"/>
        <v>98006696.890000001</v>
      </c>
      <c r="J265" s="28">
        <f t="shared" si="74"/>
        <v>0</v>
      </c>
      <c r="K265" s="28">
        <f t="shared" si="74"/>
        <v>0</v>
      </c>
    </row>
    <row r="266" spans="1:12" ht="25.5" x14ac:dyDescent="0.2">
      <c r="A266" s="186" t="s">
        <v>257</v>
      </c>
      <c r="B266" s="192" t="s">
        <v>258</v>
      </c>
      <c r="C266" s="36"/>
      <c r="D266" s="36"/>
      <c r="E266" s="36"/>
      <c r="F266" s="36"/>
      <c r="G266" s="36"/>
      <c r="H266" s="27">
        <f t="shared" si="30"/>
        <v>4063211.7800000003</v>
      </c>
      <c r="I266" s="27">
        <f t="shared" ref="I266:K269" si="75">I111</f>
        <v>4063211.7800000003</v>
      </c>
      <c r="J266" s="27">
        <f t="shared" si="75"/>
        <v>0</v>
      </c>
      <c r="K266" s="27">
        <f t="shared" si="75"/>
        <v>0</v>
      </c>
    </row>
    <row r="267" spans="1:12" ht="25.5" x14ac:dyDescent="0.2">
      <c r="A267" s="186" t="s">
        <v>253</v>
      </c>
      <c r="B267" s="95" t="s">
        <v>255</v>
      </c>
      <c r="C267" s="36"/>
      <c r="D267" s="36"/>
      <c r="E267" s="36"/>
      <c r="F267" s="36"/>
      <c r="G267" s="36"/>
      <c r="H267" s="27">
        <f t="shared" si="30"/>
        <v>2719339.16</v>
      </c>
      <c r="I267" s="27">
        <f t="shared" si="75"/>
        <v>2719339.16</v>
      </c>
      <c r="J267" s="27">
        <f t="shared" si="75"/>
        <v>0</v>
      </c>
      <c r="K267" s="27">
        <f t="shared" si="75"/>
        <v>0</v>
      </c>
    </row>
    <row r="268" spans="1:12" ht="25.5" x14ac:dyDescent="0.2">
      <c r="A268" s="186" t="s">
        <v>293</v>
      </c>
      <c r="B268" s="192" t="s">
        <v>255</v>
      </c>
      <c r="C268" s="36"/>
      <c r="D268" s="36"/>
      <c r="E268" s="36"/>
      <c r="F268" s="36"/>
      <c r="G268" s="36"/>
      <c r="H268" s="27">
        <f t="shared" si="30"/>
        <v>231544280.66</v>
      </c>
      <c r="I268" s="27">
        <f t="shared" si="75"/>
        <v>231544280.66</v>
      </c>
      <c r="J268" s="27">
        <f t="shared" si="75"/>
        <v>0</v>
      </c>
      <c r="K268" s="27">
        <f t="shared" si="75"/>
        <v>0</v>
      </c>
    </row>
    <row r="269" spans="1:12" ht="25.5" x14ac:dyDescent="0.2">
      <c r="A269" s="186" t="s">
        <v>292</v>
      </c>
      <c r="B269" s="192" t="s">
        <v>295</v>
      </c>
      <c r="C269" s="36"/>
      <c r="D269" s="36"/>
      <c r="E269" s="36"/>
      <c r="F269" s="36"/>
      <c r="G269" s="36"/>
      <c r="H269" s="27">
        <f t="shared" si="30"/>
        <v>35307859.310000002</v>
      </c>
      <c r="I269" s="27">
        <f t="shared" si="75"/>
        <v>35307859.310000002</v>
      </c>
      <c r="J269" s="27">
        <f t="shared" si="75"/>
        <v>0</v>
      </c>
      <c r="K269" s="27">
        <f t="shared" si="75"/>
        <v>0</v>
      </c>
    </row>
    <row r="270" spans="1:12" ht="25.5" x14ac:dyDescent="0.2">
      <c r="A270" s="186" t="s">
        <v>76</v>
      </c>
      <c r="B270" s="192" t="s">
        <v>249</v>
      </c>
      <c r="C270" s="36"/>
      <c r="D270" s="36"/>
      <c r="E270" s="36"/>
      <c r="F270" s="36"/>
      <c r="G270" s="36"/>
      <c r="H270" s="27">
        <f t="shared" si="30"/>
        <v>27587237.57</v>
      </c>
      <c r="I270" s="27">
        <f>I235</f>
        <v>12015567.859999999</v>
      </c>
      <c r="J270" s="27">
        <f>J235</f>
        <v>15571669.710000001</v>
      </c>
      <c r="K270" s="27">
        <f>K235</f>
        <v>0</v>
      </c>
    </row>
    <row r="271" spans="1:12" ht="25.5" x14ac:dyDescent="0.2">
      <c r="A271" s="186" t="s">
        <v>272</v>
      </c>
      <c r="B271" s="192" t="s">
        <v>286</v>
      </c>
      <c r="C271" s="36"/>
      <c r="D271" s="36"/>
      <c r="E271" s="36"/>
      <c r="F271" s="36"/>
      <c r="G271" s="36"/>
      <c r="H271" s="27">
        <f t="shared" si="30"/>
        <v>3426464.83</v>
      </c>
      <c r="I271" s="27">
        <f t="shared" ref="I271:K286" si="76">I179</f>
        <v>3426464.83</v>
      </c>
      <c r="J271" s="27">
        <f t="shared" si="76"/>
        <v>0</v>
      </c>
      <c r="K271" s="27">
        <f t="shared" si="76"/>
        <v>0</v>
      </c>
    </row>
    <row r="272" spans="1:12" ht="25.5" x14ac:dyDescent="0.2">
      <c r="A272" s="186" t="s">
        <v>389</v>
      </c>
      <c r="B272" s="192" t="s">
        <v>286</v>
      </c>
      <c r="C272" s="36"/>
      <c r="D272" s="36"/>
      <c r="E272" s="36"/>
      <c r="F272" s="36"/>
      <c r="G272" s="36"/>
      <c r="H272" s="27">
        <f t="shared" si="30"/>
        <v>65102831.689999998</v>
      </c>
      <c r="I272" s="27">
        <f t="shared" si="76"/>
        <v>65102831.689999998</v>
      </c>
      <c r="J272" s="27">
        <f t="shared" si="76"/>
        <v>0</v>
      </c>
      <c r="K272" s="27">
        <f t="shared" si="76"/>
        <v>0</v>
      </c>
    </row>
    <row r="273" spans="1:11" ht="25.5" x14ac:dyDescent="0.2">
      <c r="A273" s="312" t="s">
        <v>272</v>
      </c>
      <c r="B273" s="313" t="s">
        <v>274</v>
      </c>
      <c r="C273" s="332"/>
      <c r="D273" s="332"/>
      <c r="E273" s="332"/>
      <c r="F273" s="332"/>
      <c r="G273" s="332"/>
      <c r="H273" s="27">
        <f t="shared" si="30"/>
        <v>172559</v>
      </c>
      <c r="I273" s="333">
        <f t="shared" si="76"/>
        <v>172559</v>
      </c>
      <c r="J273" s="333">
        <f t="shared" si="76"/>
        <v>0</v>
      </c>
      <c r="K273" s="333">
        <f t="shared" si="76"/>
        <v>0</v>
      </c>
    </row>
    <row r="274" spans="1:11" ht="25.5" x14ac:dyDescent="0.2">
      <c r="A274" s="186" t="s">
        <v>389</v>
      </c>
      <c r="B274" s="192" t="s">
        <v>274</v>
      </c>
      <c r="C274" s="36"/>
      <c r="D274" s="36"/>
      <c r="E274" s="36"/>
      <c r="F274" s="36"/>
      <c r="G274" s="36"/>
      <c r="H274" s="27">
        <f t="shared" si="30"/>
        <v>3278620.94</v>
      </c>
      <c r="I274" s="27">
        <f t="shared" si="76"/>
        <v>3278620.94</v>
      </c>
      <c r="J274" s="27">
        <f t="shared" si="76"/>
        <v>0</v>
      </c>
      <c r="K274" s="27">
        <f t="shared" si="76"/>
        <v>0</v>
      </c>
    </row>
    <row r="275" spans="1:11" ht="25.5" x14ac:dyDescent="0.2">
      <c r="A275" s="186" t="s">
        <v>272</v>
      </c>
      <c r="B275" s="192" t="s">
        <v>284</v>
      </c>
      <c r="C275" s="332"/>
      <c r="D275" s="332"/>
      <c r="E275" s="332"/>
      <c r="F275" s="332"/>
      <c r="G275" s="332"/>
      <c r="H275" s="27">
        <f t="shared" si="30"/>
        <v>1048918.81</v>
      </c>
      <c r="I275" s="333">
        <f t="shared" si="76"/>
        <v>1048918.81</v>
      </c>
      <c r="J275" s="333">
        <f t="shared" si="76"/>
        <v>0</v>
      </c>
      <c r="K275" s="333">
        <f t="shared" si="76"/>
        <v>0</v>
      </c>
    </row>
    <row r="276" spans="1:11" ht="25.5" x14ac:dyDescent="0.2">
      <c r="A276" s="186" t="s">
        <v>389</v>
      </c>
      <c r="B276" s="192" t="s">
        <v>284</v>
      </c>
      <c r="C276" s="36"/>
      <c r="D276" s="36"/>
      <c r="E276" s="36"/>
      <c r="F276" s="36"/>
      <c r="G276" s="36"/>
      <c r="H276" s="27">
        <f t="shared" si="30"/>
        <v>19929457.399999999</v>
      </c>
      <c r="I276" s="27">
        <f t="shared" si="76"/>
        <v>19929457.399999999</v>
      </c>
      <c r="J276" s="27">
        <f t="shared" si="76"/>
        <v>0</v>
      </c>
      <c r="K276" s="27">
        <f t="shared" si="76"/>
        <v>0</v>
      </c>
    </row>
    <row r="277" spans="1:11" ht="25.5" x14ac:dyDescent="0.2">
      <c r="A277" s="186" t="s">
        <v>272</v>
      </c>
      <c r="B277" s="192" t="s">
        <v>287</v>
      </c>
      <c r="C277" s="332"/>
      <c r="D277" s="332"/>
      <c r="E277" s="332"/>
      <c r="F277" s="332"/>
      <c r="G277" s="332"/>
      <c r="H277" s="27">
        <f t="shared" si="30"/>
        <v>3577245.31</v>
      </c>
      <c r="I277" s="333">
        <f t="shared" si="76"/>
        <v>3577245.31</v>
      </c>
      <c r="J277" s="333">
        <f t="shared" si="76"/>
        <v>0</v>
      </c>
      <c r="K277" s="333">
        <f t="shared" si="76"/>
        <v>0</v>
      </c>
    </row>
    <row r="278" spans="1:11" ht="25.5" x14ac:dyDescent="0.2">
      <c r="A278" s="186" t="s">
        <v>389</v>
      </c>
      <c r="B278" s="192" t="s">
        <v>287</v>
      </c>
      <c r="C278" s="332"/>
      <c r="D278" s="332"/>
      <c r="E278" s="332"/>
      <c r="F278" s="332"/>
      <c r="G278" s="332"/>
      <c r="H278" s="333">
        <f t="shared" si="30"/>
        <v>67967660.909999996</v>
      </c>
      <c r="I278" s="333">
        <f t="shared" si="76"/>
        <v>67967660.909999996</v>
      </c>
      <c r="J278" s="333">
        <f t="shared" si="76"/>
        <v>0</v>
      </c>
      <c r="K278" s="333">
        <f t="shared" si="76"/>
        <v>0</v>
      </c>
    </row>
    <row r="279" spans="1:11" ht="25.5" x14ac:dyDescent="0.2">
      <c r="A279" s="186" t="s">
        <v>272</v>
      </c>
      <c r="B279" s="192" t="s">
        <v>290</v>
      </c>
      <c r="C279" s="36"/>
      <c r="D279" s="36"/>
      <c r="E279" s="36"/>
      <c r="F279" s="36"/>
      <c r="G279" s="36"/>
      <c r="H279" s="27">
        <f t="shared" si="30"/>
        <v>139327.71</v>
      </c>
      <c r="I279" s="27">
        <f t="shared" si="76"/>
        <v>139327.71</v>
      </c>
      <c r="J279" s="27">
        <f t="shared" si="76"/>
        <v>0</v>
      </c>
      <c r="K279" s="27">
        <f t="shared" si="76"/>
        <v>0</v>
      </c>
    </row>
    <row r="280" spans="1:11" ht="25.5" x14ac:dyDescent="0.2">
      <c r="A280" s="186" t="s">
        <v>389</v>
      </c>
      <c r="B280" s="192" t="s">
        <v>290</v>
      </c>
      <c r="C280" s="332"/>
      <c r="D280" s="332"/>
      <c r="E280" s="332"/>
      <c r="F280" s="332"/>
      <c r="G280" s="332"/>
      <c r="H280" s="333">
        <f t="shared" si="30"/>
        <v>2647226.4500000002</v>
      </c>
      <c r="I280" s="333">
        <f t="shared" si="76"/>
        <v>2647226.4500000002</v>
      </c>
      <c r="J280" s="333">
        <f t="shared" si="76"/>
        <v>0</v>
      </c>
      <c r="K280" s="333">
        <f t="shared" si="76"/>
        <v>0</v>
      </c>
    </row>
    <row r="281" spans="1:11" ht="25.5" x14ac:dyDescent="0.2">
      <c r="A281" s="186" t="s">
        <v>272</v>
      </c>
      <c r="B281" s="192" t="s">
        <v>276</v>
      </c>
      <c r="C281" s="36"/>
      <c r="D281" s="36"/>
      <c r="E281" s="36"/>
      <c r="F281" s="36"/>
      <c r="G281" s="36"/>
      <c r="H281" s="27">
        <f t="shared" si="30"/>
        <v>1439062.29</v>
      </c>
      <c r="I281" s="27">
        <f t="shared" si="76"/>
        <v>1439062.29</v>
      </c>
      <c r="J281" s="27">
        <f t="shared" si="76"/>
        <v>0</v>
      </c>
      <c r="K281" s="27">
        <f t="shared" si="76"/>
        <v>0</v>
      </c>
    </row>
    <row r="282" spans="1:11" ht="25.5" x14ac:dyDescent="0.2">
      <c r="A282" s="186" t="s">
        <v>389</v>
      </c>
      <c r="B282" s="192" t="s">
        <v>276</v>
      </c>
      <c r="C282" s="36"/>
      <c r="D282" s="36"/>
      <c r="E282" s="36"/>
      <c r="F282" s="36"/>
      <c r="G282" s="36"/>
      <c r="H282" s="27">
        <f t="shared" si="30"/>
        <v>27342183.41</v>
      </c>
      <c r="I282" s="27">
        <f t="shared" si="76"/>
        <v>27342183.41</v>
      </c>
      <c r="J282" s="27">
        <f t="shared" si="76"/>
        <v>0</v>
      </c>
      <c r="K282" s="27">
        <f t="shared" si="76"/>
        <v>0</v>
      </c>
    </row>
    <row r="283" spans="1:11" ht="25.5" x14ac:dyDescent="0.2">
      <c r="A283" s="186" t="s">
        <v>272</v>
      </c>
      <c r="B283" s="192" t="s">
        <v>279</v>
      </c>
      <c r="C283" s="36"/>
      <c r="D283" s="36"/>
      <c r="E283" s="36"/>
      <c r="F283" s="36"/>
      <c r="G283" s="36"/>
      <c r="H283" s="27">
        <f t="shared" si="30"/>
        <v>445211.31</v>
      </c>
      <c r="I283" s="27">
        <f t="shared" si="76"/>
        <v>445211.31</v>
      </c>
      <c r="J283" s="27">
        <f t="shared" si="76"/>
        <v>0</v>
      </c>
      <c r="K283" s="27">
        <f t="shared" si="76"/>
        <v>0</v>
      </c>
    </row>
    <row r="284" spans="1:11" ht="25.5" x14ac:dyDescent="0.2">
      <c r="A284" s="186" t="s">
        <v>389</v>
      </c>
      <c r="B284" s="192" t="s">
        <v>279</v>
      </c>
      <c r="C284" s="36"/>
      <c r="D284" s="36"/>
      <c r="E284" s="36"/>
      <c r="F284" s="36"/>
      <c r="G284" s="36"/>
      <c r="H284" s="27">
        <f t="shared" si="30"/>
        <v>8459014.8699999992</v>
      </c>
      <c r="I284" s="27">
        <f t="shared" si="76"/>
        <v>8459014.8699999992</v>
      </c>
      <c r="J284" s="27">
        <f t="shared" si="76"/>
        <v>0</v>
      </c>
      <c r="K284" s="27">
        <f t="shared" si="76"/>
        <v>0</v>
      </c>
    </row>
    <row r="285" spans="1:11" ht="25.5" x14ac:dyDescent="0.2">
      <c r="A285" s="186" t="s">
        <v>272</v>
      </c>
      <c r="B285" s="192" t="s">
        <v>281</v>
      </c>
      <c r="C285" s="36"/>
      <c r="D285" s="36"/>
      <c r="E285" s="36"/>
      <c r="F285" s="36"/>
      <c r="G285" s="36"/>
      <c r="H285" s="27">
        <f t="shared" si="30"/>
        <v>2808065.04</v>
      </c>
      <c r="I285" s="27">
        <f t="shared" si="76"/>
        <v>2808065.04</v>
      </c>
      <c r="J285" s="27">
        <f t="shared" si="76"/>
        <v>0</v>
      </c>
      <c r="K285" s="27">
        <f t="shared" si="76"/>
        <v>0</v>
      </c>
    </row>
    <row r="286" spans="1:11" ht="25.5" x14ac:dyDescent="0.2">
      <c r="A286" s="186" t="s">
        <v>389</v>
      </c>
      <c r="B286" s="192" t="s">
        <v>281</v>
      </c>
      <c r="C286" s="36"/>
      <c r="D286" s="36"/>
      <c r="E286" s="36"/>
      <c r="F286" s="36"/>
      <c r="G286" s="36"/>
      <c r="H286" s="27">
        <f t="shared" si="30"/>
        <v>53353235.689999998</v>
      </c>
      <c r="I286" s="27">
        <f t="shared" si="76"/>
        <v>53353235.689999998</v>
      </c>
      <c r="J286" s="27">
        <f t="shared" si="76"/>
        <v>0</v>
      </c>
      <c r="K286" s="27">
        <f t="shared" si="76"/>
        <v>0</v>
      </c>
    </row>
    <row r="287" spans="1:11" ht="25.5" x14ac:dyDescent="0.2">
      <c r="A287" s="186" t="s">
        <v>272</v>
      </c>
      <c r="B287" s="192" t="s">
        <v>375</v>
      </c>
      <c r="C287" s="36"/>
      <c r="D287" s="36"/>
      <c r="E287" s="36"/>
      <c r="F287" s="36"/>
      <c r="G287" s="36"/>
      <c r="H287" s="27">
        <f t="shared" si="30"/>
        <v>3477600</v>
      </c>
      <c r="I287" s="27">
        <f t="shared" ref="I287:K302" si="77">I195</f>
        <v>3477600</v>
      </c>
      <c r="J287" s="27">
        <f t="shared" si="77"/>
        <v>0</v>
      </c>
      <c r="K287" s="27">
        <f t="shared" si="77"/>
        <v>0</v>
      </c>
    </row>
    <row r="288" spans="1:11" ht="25.5" x14ac:dyDescent="0.2">
      <c r="A288" s="186" t="s">
        <v>272</v>
      </c>
      <c r="B288" s="192" t="s">
        <v>386</v>
      </c>
      <c r="C288" s="36"/>
      <c r="D288" s="36"/>
      <c r="E288" s="36"/>
      <c r="F288" s="36"/>
      <c r="G288" s="36"/>
      <c r="H288" s="27">
        <f t="shared" si="30"/>
        <v>2348548.5</v>
      </c>
      <c r="I288" s="27">
        <f t="shared" si="77"/>
        <v>2348548.5</v>
      </c>
      <c r="J288" s="27">
        <f t="shared" si="77"/>
        <v>0</v>
      </c>
      <c r="K288" s="27">
        <f t="shared" si="77"/>
        <v>0</v>
      </c>
    </row>
    <row r="289" spans="1:11" ht="25.5" x14ac:dyDescent="0.2">
      <c r="A289" s="186" t="s">
        <v>403</v>
      </c>
      <c r="B289" s="192" t="s">
        <v>386</v>
      </c>
      <c r="C289" s="332"/>
      <c r="D289" s="332"/>
      <c r="E289" s="332"/>
      <c r="F289" s="332"/>
      <c r="G289" s="332"/>
      <c r="H289" s="27">
        <f t="shared" si="30"/>
        <v>44622421.5</v>
      </c>
      <c r="I289" s="333">
        <f t="shared" si="77"/>
        <v>44622421.5</v>
      </c>
      <c r="J289" s="333">
        <f t="shared" si="77"/>
        <v>0</v>
      </c>
      <c r="K289" s="333">
        <f t="shared" si="77"/>
        <v>0</v>
      </c>
    </row>
    <row r="290" spans="1:11" ht="25.5" x14ac:dyDescent="0.2">
      <c r="A290" s="186" t="s">
        <v>272</v>
      </c>
      <c r="B290" s="192" t="s">
        <v>377</v>
      </c>
      <c r="C290" s="36"/>
      <c r="D290" s="36"/>
      <c r="E290" s="36"/>
      <c r="F290" s="36"/>
      <c r="G290" s="36"/>
      <c r="H290" s="27">
        <f t="shared" si="30"/>
        <v>2926200</v>
      </c>
      <c r="I290" s="27">
        <f t="shared" si="77"/>
        <v>2926200</v>
      </c>
      <c r="J290" s="27">
        <f t="shared" si="77"/>
        <v>0</v>
      </c>
      <c r="K290" s="27">
        <f t="shared" si="77"/>
        <v>0</v>
      </c>
    </row>
    <row r="291" spans="1:11" ht="25.5" x14ac:dyDescent="0.2">
      <c r="A291" s="186" t="s">
        <v>272</v>
      </c>
      <c r="B291" s="192" t="s">
        <v>387</v>
      </c>
      <c r="C291" s="332"/>
      <c r="D291" s="332"/>
      <c r="E291" s="332"/>
      <c r="F291" s="332"/>
      <c r="G291" s="332"/>
      <c r="H291" s="27">
        <f t="shared" si="30"/>
        <v>2549534.5</v>
      </c>
      <c r="I291" s="333">
        <f t="shared" si="77"/>
        <v>2549534.5</v>
      </c>
      <c r="J291" s="333">
        <f t="shared" si="77"/>
        <v>0</v>
      </c>
      <c r="K291" s="333">
        <f t="shared" si="77"/>
        <v>0</v>
      </c>
    </row>
    <row r="292" spans="1:11" ht="25.5" x14ac:dyDescent="0.2">
      <c r="A292" s="186" t="s">
        <v>403</v>
      </c>
      <c r="B292" s="192" t="s">
        <v>407</v>
      </c>
      <c r="C292" s="36"/>
      <c r="D292" s="36"/>
      <c r="E292" s="36"/>
      <c r="F292" s="36"/>
      <c r="G292" s="36"/>
      <c r="H292" s="27">
        <f t="shared" si="30"/>
        <v>48441155.5</v>
      </c>
      <c r="I292" s="27">
        <f t="shared" si="77"/>
        <v>48441155.5</v>
      </c>
      <c r="J292" s="27">
        <f t="shared" si="77"/>
        <v>0</v>
      </c>
      <c r="K292" s="27">
        <f t="shared" si="77"/>
        <v>0</v>
      </c>
    </row>
    <row r="293" spans="1:11" ht="25.5" x14ac:dyDescent="0.2">
      <c r="A293" s="186" t="s">
        <v>272</v>
      </c>
      <c r="B293" s="192" t="s">
        <v>379</v>
      </c>
      <c r="C293" s="332"/>
      <c r="D293" s="332"/>
      <c r="E293" s="332"/>
      <c r="F293" s="332"/>
      <c r="G293" s="332"/>
      <c r="H293" s="27">
        <f t="shared" si="30"/>
        <v>1144200</v>
      </c>
      <c r="I293" s="333">
        <f t="shared" si="77"/>
        <v>1144200</v>
      </c>
      <c r="J293" s="333">
        <f t="shared" si="77"/>
        <v>0</v>
      </c>
      <c r="K293" s="333">
        <f t="shared" si="77"/>
        <v>0</v>
      </c>
    </row>
    <row r="294" spans="1:11" ht="25.5" x14ac:dyDescent="0.2">
      <c r="A294" s="186" t="s">
        <v>272</v>
      </c>
      <c r="B294" s="192" t="s">
        <v>388</v>
      </c>
      <c r="C294" s="36"/>
      <c r="D294" s="36"/>
      <c r="E294" s="36"/>
      <c r="F294" s="36"/>
      <c r="G294" s="36"/>
      <c r="H294" s="27">
        <f t="shared" si="30"/>
        <v>827517</v>
      </c>
      <c r="I294" s="27">
        <f t="shared" si="77"/>
        <v>827517</v>
      </c>
      <c r="J294" s="27">
        <f t="shared" si="77"/>
        <v>0</v>
      </c>
      <c r="K294" s="27">
        <f t="shared" si="77"/>
        <v>0</v>
      </c>
    </row>
    <row r="295" spans="1:11" ht="25.5" x14ac:dyDescent="0.2">
      <c r="A295" s="186" t="s">
        <v>403</v>
      </c>
      <c r="B295" s="192" t="s">
        <v>388</v>
      </c>
      <c r="C295" s="36"/>
      <c r="D295" s="36"/>
      <c r="E295" s="36"/>
      <c r="F295" s="36"/>
      <c r="G295" s="36"/>
      <c r="H295" s="27">
        <f t="shared" si="30"/>
        <v>15722823</v>
      </c>
      <c r="I295" s="27">
        <f t="shared" si="77"/>
        <v>15722823</v>
      </c>
      <c r="J295" s="27">
        <f t="shared" si="77"/>
        <v>0</v>
      </c>
      <c r="K295" s="27">
        <f t="shared" si="77"/>
        <v>0</v>
      </c>
    </row>
    <row r="296" spans="1:11" ht="25.5" x14ac:dyDescent="0.2">
      <c r="A296" s="186" t="s">
        <v>272</v>
      </c>
      <c r="B296" s="192" t="s">
        <v>401</v>
      </c>
      <c r="C296" s="36"/>
      <c r="D296" s="36"/>
      <c r="E296" s="36"/>
      <c r="F296" s="36"/>
      <c r="G296" s="36"/>
      <c r="H296" s="27">
        <f t="shared" si="30"/>
        <v>3039000</v>
      </c>
      <c r="I296" s="27">
        <f t="shared" si="77"/>
        <v>3039000</v>
      </c>
      <c r="J296" s="27">
        <f t="shared" si="77"/>
        <v>0</v>
      </c>
      <c r="K296" s="27">
        <f t="shared" si="77"/>
        <v>0</v>
      </c>
    </row>
    <row r="297" spans="1:11" ht="25.5" x14ac:dyDescent="0.2">
      <c r="A297" s="186" t="s">
        <v>389</v>
      </c>
      <c r="B297" s="192" t="s">
        <v>402</v>
      </c>
      <c r="C297" s="36"/>
      <c r="D297" s="36"/>
      <c r="E297" s="36"/>
      <c r="F297" s="36"/>
      <c r="G297" s="36"/>
      <c r="H297" s="27">
        <f t="shared" ref="H297:H306" si="78">I297+J297+K297</f>
        <v>57741000</v>
      </c>
      <c r="I297" s="27">
        <f t="shared" si="77"/>
        <v>57741000</v>
      </c>
      <c r="J297" s="27">
        <f t="shared" si="77"/>
        <v>0</v>
      </c>
      <c r="K297" s="27">
        <f t="shared" si="77"/>
        <v>0</v>
      </c>
    </row>
    <row r="298" spans="1:11" ht="25.5" x14ac:dyDescent="0.2">
      <c r="A298" s="186" t="s">
        <v>435</v>
      </c>
      <c r="B298" s="192" t="s">
        <v>442</v>
      </c>
      <c r="C298" s="36"/>
      <c r="D298" s="36"/>
      <c r="E298" s="36"/>
      <c r="F298" s="36"/>
      <c r="G298" s="36"/>
      <c r="H298" s="27">
        <f t="shared" si="78"/>
        <v>3166000</v>
      </c>
      <c r="I298" s="27">
        <f t="shared" si="77"/>
        <v>0</v>
      </c>
      <c r="J298" s="27">
        <f t="shared" si="77"/>
        <v>3166000</v>
      </c>
      <c r="K298" s="27">
        <f t="shared" si="77"/>
        <v>0</v>
      </c>
    </row>
    <row r="299" spans="1:11" ht="25.5" x14ac:dyDescent="0.2">
      <c r="A299" s="186" t="s">
        <v>436</v>
      </c>
      <c r="B299" s="192" t="s">
        <v>442</v>
      </c>
      <c r="C299" s="36"/>
      <c r="D299" s="36"/>
      <c r="E299" s="36"/>
      <c r="F299" s="36"/>
      <c r="G299" s="36"/>
      <c r="H299" s="27">
        <f t="shared" si="78"/>
        <v>38884.1</v>
      </c>
      <c r="I299" s="27">
        <f t="shared" si="77"/>
        <v>0</v>
      </c>
      <c r="J299" s="291">
        <f t="shared" si="77"/>
        <v>38884.1</v>
      </c>
      <c r="K299" s="27">
        <f t="shared" si="77"/>
        <v>0</v>
      </c>
    </row>
    <row r="300" spans="1:11" ht="25.5" x14ac:dyDescent="0.2">
      <c r="A300" s="186" t="s">
        <v>437</v>
      </c>
      <c r="B300" s="192" t="s">
        <v>442</v>
      </c>
      <c r="C300" s="36"/>
      <c r="D300" s="36"/>
      <c r="E300" s="36"/>
      <c r="F300" s="36"/>
      <c r="G300" s="36"/>
      <c r="H300" s="27">
        <f t="shared" si="78"/>
        <v>62757000</v>
      </c>
      <c r="I300" s="27">
        <f t="shared" si="77"/>
        <v>0</v>
      </c>
      <c r="J300" s="27">
        <f t="shared" si="77"/>
        <v>62757000</v>
      </c>
      <c r="K300" s="27">
        <f t="shared" si="77"/>
        <v>0</v>
      </c>
    </row>
    <row r="301" spans="1:11" ht="25.5" x14ac:dyDescent="0.2">
      <c r="A301" s="186" t="s">
        <v>435</v>
      </c>
      <c r="B301" s="192" t="s">
        <v>443</v>
      </c>
      <c r="C301" s="36"/>
      <c r="D301" s="36"/>
      <c r="E301" s="36"/>
      <c r="F301" s="36"/>
      <c r="G301" s="36"/>
      <c r="H301" s="333">
        <f t="shared" si="78"/>
        <v>2426000</v>
      </c>
      <c r="I301" s="27">
        <f t="shared" si="77"/>
        <v>0</v>
      </c>
      <c r="J301" s="27">
        <f t="shared" si="77"/>
        <v>2426000</v>
      </c>
      <c r="K301" s="27">
        <f t="shared" si="77"/>
        <v>0</v>
      </c>
    </row>
    <row r="302" spans="1:11" ht="25.5" x14ac:dyDescent="0.2">
      <c r="A302" s="186" t="s">
        <v>436</v>
      </c>
      <c r="B302" s="192" t="s">
        <v>444</v>
      </c>
      <c r="C302" s="36"/>
      <c r="D302" s="36"/>
      <c r="E302" s="36"/>
      <c r="F302" s="36"/>
      <c r="G302" s="36"/>
      <c r="H302" s="27">
        <f t="shared" si="78"/>
        <v>30135.96</v>
      </c>
      <c r="I302" s="27">
        <f t="shared" si="77"/>
        <v>0</v>
      </c>
      <c r="J302" s="291">
        <f t="shared" si="77"/>
        <v>30135.96</v>
      </c>
      <c r="K302" s="27">
        <f t="shared" si="77"/>
        <v>0</v>
      </c>
    </row>
    <row r="303" spans="1:11" ht="25.5" x14ac:dyDescent="0.2">
      <c r="A303" s="312" t="s">
        <v>437</v>
      </c>
      <c r="B303" s="313" t="s">
        <v>444</v>
      </c>
      <c r="C303" s="332"/>
      <c r="D303" s="332"/>
      <c r="E303" s="332"/>
      <c r="F303" s="332"/>
      <c r="G303" s="332"/>
      <c r="H303" s="333">
        <f t="shared" si="78"/>
        <v>48092000</v>
      </c>
      <c r="I303" s="333">
        <f t="shared" ref="I303:K303" si="79">I211</f>
        <v>0</v>
      </c>
      <c r="J303" s="333">
        <f t="shared" si="79"/>
        <v>48092000</v>
      </c>
      <c r="K303" s="333">
        <f t="shared" si="79"/>
        <v>0</v>
      </c>
    </row>
    <row r="304" spans="1:11" ht="25.5" x14ac:dyDescent="0.2">
      <c r="A304" s="186" t="s">
        <v>599</v>
      </c>
      <c r="B304" s="192" t="s">
        <v>249</v>
      </c>
      <c r="C304" s="332"/>
      <c r="D304" s="332"/>
      <c r="E304" s="332"/>
      <c r="F304" s="332"/>
      <c r="G304" s="332"/>
      <c r="H304" s="333">
        <f t="shared" si="78"/>
        <v>250000</v>
      </c>
      <c r="I304" s="333">
        <f>I236</f>
        <v>250000</v>
      </c>
      <c r="J304" s="333">
        <f t="shared" ref="J304:K305" si="80">J236</f>
        <v>0</v>
      </c>
      <c r="K304" s="333">
        <f t="shared" si="80"/>
        <v>0</v>
      </c>
    </row>
    <row r="305" spans="1:16" ht="25.5" x14ac:dyDescent="0.2">
      <c r="A305" s="186" t="s">
        <v>600</v>
      </c>
      <c r="B305" s="192" t="s">
        <v>601</v>
      </c>
      <c r="C305" s="332"/>
      <c r="D305" s="332"/>
      <c r="E305" s="332"/>
      <c r="F305" s="332"/>
      <c r="G305" s="332"/>
      <c r="H305" s="333">
        <f t="shared" si="78"/>
        <v>255000000</v>
      </c>
      <c r="I305" s="333">
        <f>I237</f>
        <v>0</v>
      </c>
      <c r="J305" s="333">
        <f t="shared" si="80"/>
        <v>255000000</v>
      </c>
      <c r="K305" s="333">
        <f t="shared" si="80"/>
        <v>0</v>
      </c>
    </row>
    <row r="306" spans="1:16" ht="26.25" thickBot="1" x14ac:dyDescent="0.25">
      <c r="A306" s="237" t="s">
        <v>581</v>
      </c>
      <c r="B306" s="403" t="s">
        <v>580</v>
      </c>
      <c r="C306" s="376"/>
      <c r="D306" s="376"/>
      <c r="E306" s="376"/>
      <c r="F306" s="376"/>
      <c r="G306" s="376"/>
      <c r="H306" s="29">
        <f t="shared" si="78"/>
        <v>2569000</v>
      </c>
      <c r="I306" s="29">
        <f>I115</f>
        <v>2569000</v>
      </c>
      <c r="J306" s="29">
        <f>J115</f>
        <v>0</v>
      </c>
      <c r="K306" s="29">
        <f>K115</f>
        <v>0</v>
      </c>
    </row>
    <row r="307" spans="1:16" ht="19.5" customHeight="1" thickBot="1" x14ac:dyDescent="0.25">
      <c r="A307" s="499" t="s">
        <v>95</v>
      </c>
      <c r="B307" s="499"/>
      <c r="C307" s="499"/>
      <c r="D307" s="499"/>
      <c r="E307" s="499"/>
      <c r="F307" s="499"/>
      <c r="G307" s="499"/>
      <c r="H307" s="499"/>
      <c r="I307" s="499"/>
      <c r="J307" s="499"/>
      <c r="K307" s="499"/>
    </row>
    <row r="308" spans="1:16" ht="21" customHeight="1" thickBot="1" x14ac:dyDescent="0.25">
      <c r="A308" s="498" t="s">
        <v>99</v>
      </c>
      <c r="B308" s="498"/>
      <c r="C308" s="498"/>
      <c r="D308" s="498"/>
      <c r="E308" s="498"/>
      <c r="F308" s="498"/>
      <c r="G308" s="498"/>
      <c r="H308" s="498"/>
      <c r="I308" s="498"/>
      <c r="J308" s="498"/>
      <c r="K308" s="498"/>
    </row>
    <row r="309" spans="1:16" ht="44.25" customHeight="1" thickBot="1" x14ac:dyDescent="0.25">
      <c r="A309" s="10" t="s">
        <v>86</v>
      </c>
      <c r="B309" s="156"/>
      <c r="C309" s="43"/>
      <c r="D309" s="43"/>
      <c r="E309" s="44"/>
      <c r="F309" s="44"/>
      <c r="G309" s="44"/>
      <c r="H309" s="67">
        <f>I309+J309+K309</f>
        <v>181658130.30000001</v>
      </c>
      <c r="I309" s="67">
        <f>I310+I383+I374</f>
        <v>100991228.42</v>
      </c>
      <c r="J309" s="67">
        <f>J310+J383+J374</f>
        <v>73683630.74000001</v>
      </c>
      <c r="K309" s="67">
        <f>K310+K383+K374</f>
        <v>6983271.1400000006</v>
      </c>
      <c r="L309" s="3">
        <f>H310+H383+H374</f>
        <v>181658130.30000001</v>
      </c>
      <c r="O309" s="102"/>
    </row>
    <row r="310" spans="1:16" ht="43.5" customHeight="1" thickBot="1" x14ac:dyDescent="0.25">
      <c r="A310" s="101" t="s">
        <v>61</v>
      </c>
      <c r="B310" s="307"/>
      <c r="C310" s="308"/>
      <c r="D310" s="308"/>
      <c r="E310" s="309"/>
      <c r="F310" s="309"/>
      <c r="G310" s="309"/>
      <c r="H310" s="56">
        <f t="shared" ref="H310:H347" si="81">I310+J310+K310</f>
        <v>97808466</v>
      </c>
      <c r="I310" s="56">
        <f>I311+I314+I344+I346+I348+I350+I352+I354+I356+I358+I360+I362+I364+I366+I368+I370+I372+I319+I321+I323+I325+I327+I329+I333+I336+I339+I331+I342</f>
        <v>81446564.120000005</v>
      </c>
      <c r="J310" s="56">
        <f>J311+J314+J344+J346+J348+J350+J352+J354+J356+J358+J360+J362+J364+J366+J368+J370+J372+J319+J321+J323+J325+J327+J329+J333+J336+J339+J331+J342</f>
        <v>9378630.7400000002</v>
      </c>
      <c r="K310" s="56">
        <f>K311+K314+K344+K346+K348+K350+K352+K354+K356+K358+K360+K362+K364+K366+K368+K370+K372+K319+K321+K323+K325+K327+K329+K333+K336+K339+K331+K342</f>
        <v>6983271.1400000006</v>
      </c>
      <c r="L310" s="3">
        <f>H311+H314+H344+H346+H348+H350+H352+H354+H356+H358+H360+H362+H364+H366+H368+H370+H372+H319+H321+H323+H325+H327+H329+H333+H336+H339+H331+H342</f>
        <v>97808466</v>
      </c>
      <c r="O310" s="102"/>
    </row>
    <row r="311" spans="1:16" ht="39" customHeight="1" x14ac:dyDescent="0.2">
      <c r="A311" s="94" t="s">
        <v>104</v>
      </c>
      <c r="B311" s="41" t="s">
        <v>100</v>
      </c>
      <c r="C311" s="89" t="s">
        <v>160</v>
      </c>
      <c r="D311" s="341" t="s">
        <v>80</v>
      </c>
      <c r="E311" s="249">
        <v>20153099.210000001</v>
      </c>
      <c r="F311" s="276">
        <v>1859423</v>
      </c>
      <c r="G311" s="249">
        <f>E311-F311</f>
        <v>18293676.210000001</v>
      </c>
      <c r="H311" s="33">
        <f t="shared" si="81"/>
        <v>18293676.210000001</v>
      </c>
      <c r="I311" s="33">
        <f>SUM(I312:I313)</f>
        <v>18293676.210000001</v>
      </c>
      <c r="J311" s="33">
        <f>SUM(J312:J313)</f>
        <v>0</v>
      </c>
      <c r="K311" s="33">
        <f>SUM(K312:K313)</f>
        <v>0</v>
      </c>
      <c r="O311" s="102"/>
    </row>
    <row r="312" spans="1:16" ht="26.25" customHeight="1" x14ac:dyDescent="0.2">
      <c r="A312" s="9" t="s">
        <v>554</v>
      </c>
      <c r="B312" s="5" t="s">
        <v>21</v>
      </c>
      <c r="C312" s="120"/>
      <c r="D312" s="235"/>
      <c r="E312" s="8"/>
      <c r="F312" s="246"/>
      <c r="G312" s="246"/>
      <c r="H312" s="8">
        <f t="shared" si="81"/>
        <v>914683.81</v>
      </c>
      <c r="I312" s="8">
        <f>757950+79494.24+1547.4+75692.17</f>
        <v>914683.81</v>
      </c>
      <c r="J312" s="8"/>
      <c r="K312" s="8"/>
      <c r="L312" s="54" t="s">
        <v>635</v>
      </c>
    </row>
    <row r="313" spans="1:16" ht="26.25" customHeight="1" thickBot="1" x14ac:dyDescent="0.25">
      <c r="A313" s="240" t="s">
        <v>78</v>
      </c>
      <c r="B313" s="93" t="s">
        <v>20</v>
      </c>
      <c r="C313" s="264"/>
      <c r="D313" s="265"/>
      <c r="E313" s="15"/>
      <c r="F313" s="296"/>
      <c r="G313" s="296"/>
      <c r="H313" s="15">
        <f t="shared" si="81"/>
        <v>17378992.400000002</v>
      </c>
      <c r="I313" s="15">
        <f>14401050+1539791.21+1438151.19</f>
        <v>17378992.400000002</v>
      </c>
      <c r="J313" s="15"/>
      <c r="K313" s="15"/>
      <c r="L313" s="54" t="s">
        <v>638</v>
      </c>
    </row>
    <row r="314" spans="1:16" ht="56.25" customHeight="1" x14ac:dyDescent="0.2">
      <c r="A314" s="236" t="s">
        <v>124</v>
      </c>
      <c r="B314" s="41" t="s">
        <v>100</v>
      </c>
      <c r="C314" s="91" t="s">
        <v>53</v>
      </c>
      <c r="D314" s="91" t="s">
        <v>109</v>
      </c>
      <c r="E314" s="107">
        <v>50128218.740000002</v>
      </c>
      <c r="F314" s="276">
        <v>10577407.869999999</v>
      </c>
      <c r="G314" s="249">
        <f>E314-F314</f>
        <v>39550810.870000005</v>
      </c>
      <c r="H314" s="33">
        <f t="shared" si="81"/>
        <v>39550810.869999997</v>
      </c>
      <c r="I314" s="33">
        <f>SUM(I315:I316)</f>
        <v>39550810.869999997</v>
      </c>
      <c r="J314" s="33">
        <f>SUM(J315:J316)</f>
        <v>0</v>
      </c>
      <c r="K314" s="33">
        <f>SUM(K315:K316)</f>
        <v>0</v>
      </c>
      <c r="O314" t="s">
        <v>79</v>
      </c>
    </row>
    <row r="315" spans="1:16" ht="28.5" customHeight="1" x14ac:dyDescent="0.2">
      <c r="A315" s="9" t="s">
        <v>77</v>
      </c>
      <c r="B315" s="5" t="s">
        <v>19</v>
      </c>
      <c r="C315" s="11"/>
      <c r="D315" s="11"/>
      <c r="E315" s="87"/>
      <c r="F315" s="202"/>
      <c r="G315" s="202"/>
      <c r="H315" s="8">
        <f>I315+J315+K315</f>
        <v>1977540.5399999998</v>
      </c>
      <c r="I315" s="8">
        <f>806588.53+1029895.08+141056.93</f>
        <v>1977540.5399999998</v>
      </c>
      <c r="J315" s="361"/>
      <c r="K315" s="8"/>
      <c r="L315" s="51" t="s">
        <v>636</v>
      </c>
      <c r="N315" s="52"/>
    </row>
    <row r="316" spans="1:16" ht="25.5" x14ac:dyDescent="0.2">
      <c r="A316" s="9" t="s">
        <v>78</v>
      </c>
      <c r="B316" s="5" t="s">
        <v>18</v>
      </c>
      <c r="C316" s="11"/>
      <c r="D316" s="11"/>
      <c r="E316" s="87"/>
      <c r="F316" s="202"/>
      <c r="G316" s="202"/>
      <c r="H316" s="8">
        <f>I316+J316+K316</f>
        <v>37573270.329999998</v>
      </c>
      <c r="I316" s="8">
        <f>15325182+19568006.42+2680081.91</f>
        <v>37573270.329999998</v>
      </c>
      <c r="J316" s="270"/>
      <c r="K316" s="8"/>
      <c r="L316" s="52" t="s">
        <v>639</v>
      </c>
      <c r="M316" s="52"/>
      <c r="N316" s="52"/>
    </row>
    <row r="317" spans="1:16" ht="38.25" x14ac:dyDescent="0.2">
      <c r="A317" s="9" t="s">
        <v>170</v>
      </c>
      <c r="B317" s="5"/>
      <c r="C317" s="120"/>
      <c r="D317" s="235"/>
      <c r="E317" s="8"/>
      <c r="F317" s="202"/>
      <c r="G317" s="202"/>
      <c r="H317" s="109">
        <f>I317</f>
        <v>429020.39</v>
      </c>
      <c r="I317" s="109">
        <v>429020.39</v>
      </c>
      <c r="J317" s="8"/>
      <c r="K317" s="8"/>
      <c r="L317" s="52"/>
      <c r="M317" s="52"/>
      <c r="N317" s="52"/>
    </row>
    <row r="318" spans="1:16" ht="39" thickBot="1" x14ac:dyDescent="0.25">
      <c r="A318" s="16" t="s">
        <v>171</v>
      </c>
      <c r="B318" s="6"/>
      <c r="C318" s="178"/>
      <c r="D318" s="190"/>
      <c r="E318" s="13"/>
      <c r="F318" s="206"/>
      <c r="G318" s="206"/>
      <c r="H318" s="92">
        <f>I318</f>
        <v>8151387.4800000004</v>
      </c>
      <c r="I318" s="92">
        <v>8151387.4800000004</v>
      </c>
      <c r="J318" s="13"/>
      <c r="K318" s="13"/>
      <c r="L318" s="52"/>
      <c r="M318" s="52"/>
      <c r="N318" s="52"/>
    </row>
    <row r="319" spans="1:16" ht="38.25" x14ac:dyDescent="0.2">
      <c r="A319" s="134" t="s">
        <v>296</v>
      </c>
      <c r="B319" s="98" t="s">
        <v>108</v>
      </c>
      <c r="C319" s="35" t="s">
        <v>297</v>
      </c>
      <c r="D319" s="339" t="s">
        <v>299</v>
      </c>
      <c r="E319" s="249" t="s">
        <v>298</v>
      </c>
      <c r="F319" s="276"/>
      <c r="G319" s="249" t="s">
        <v>298</v>
      </c>
      <c r="H319" s="33">
        <f t="shared" ref="H319:H322" si="82">I319+J319+K319</f>
        <v>2391356.67</v>
      </c>
      <c r="I319" s="33">
        <f>SUM(I320)</f>
        <v>2391356.67</v>
      </c>
      <c r="J319" s="33">
        <f>SUM(J320)</f>
        <v>0</v>
      </c>
      <c r="K319" s="33">
        <f>SUM(K320)</f>
        <v>0</v>
      </c>
      <c r="L319" s="51"/>
      <c r="M319" s="51"/>
      <c r="N319" s="51"/>
      <c r="O319" s="51"/>
      <c r="P319" s="51"/>
    </row>
    <row r="320" spans="1:16" ht="26.25" thickBot="1" x14ac:dyDescent="0.25">
      <c r="A320" s="188" t="s">
        <v>76</v>
      </c>
      <c r="B320" s="314" t="s">
        <v>306</v>
      </c>
      <c r="C320" s="241"/>
      <c r="D320" s="190"/>
      <c r="E320" s="122"/>
      <c r="F320" s="13"/>
      <c r="G320" s="122"/>
      <c r="H320" s="13">
        <f t="shared" si="82"/>
        <v>2391356.67</v>
      </c>
      <c r="I320" s="13">
        <f>1706666.67+8160+21000+655530</f>
        <v>2391356.67</v>
      </c>
      <c r="J320" s="13"/>
      <c r="K320" s="13"/>
      <c r="L320" s="51"/>
      <c r="M320" s="51"/>
      <c r="N320" s="51"/>
      <c r="O320" s="51"/>
      <c r="P320" s="51"/>
    </row>
    <row r="321" spans="1:16" ht="38.25" x14ac:dyDescent="0.2">
      <c r="A321" s="134" t="s">
        <v>300</v>
      </c>
      <c r="B321" s="98" t="s">
        <v>108</v>
      </c>
      <c r="C321" s="35" t="s">
        <v>301</v>
      </c>
      <c r="D321" s="339" t="s">
        <v>299</v>
      </c>
      <c r="E321" s="249" t="s">
        <v>631</v>
      </c>
      <c r="F321" s="276"/>
      <c r="G321" s="249" t="s">
        <v>631</v>
      </c>
      <c r="H321" s="33">
        <f t="shared" si="82"/>
        <v>2632090</v>
      </c>
      <c r="I321" s="33">
        <f>SUM(I322)</f>
        <v>2632090</v>
      </c>
      <c r="J321" s="33">
        <f>SUM(J322)</f>
        <v>0</v>
      </c>
      <c r="K321" s="33">
        <f>SUM(K322)</f>
        <v>0</v>
      </c>
      <c r="L321" s="51"/>
      <c r="M321" s="51"/>
      <c r="N321" s="51"/>
      <c r="O321" s="51"/>
      <c r="P321" s="51"/>
    </row>
    <row r="322" spans="1:16" ht="26.25" thickBot="1" x14ac:dyDescent="0.25">
      <c r="A322" s="188" t="s">
        <v>76</v>
      </c>
      <c r="B322" s="314" t="s">
        <v>249</v>
      </c>
      <c r="C322" s="241"/>
      <c r="D322" s="12"/>
      <c r="E322" s="122"/>
      <c r="F322" s="13"/>
      <c r="G322" s="29"/>
      <c r="H322" s="13">
        <f t="shared" si="82"/>
        <v>2632090</v>
      </c>
      <c r="I322" s="13">
        <f>1910000+10000+23000+8160+680930</f>
        <v>2632090</v>
      </c>
      <c r="J322" s="13"/>
      <c r="K322" s="13"/>
      <c r="L322" s="51"/>
      <c r="M322" s="51"/>
      <c r="N322" s="51"/>
      <c r="O322" s="51"/>
      <c r="P322" s="51"/>
    </row>
    <row r="323" spans="1:16" ht="63.75" x14ac:dyDescent="0.2">
      <c r="A323" s="134" t="s">
        <v>302</v>
      </c>
      <c r="B323" s="98" t="s">
        <v>108</v>
      </c>
      <c r="C323" s="89" t="s">
        <v>303</v>
      </c>
      <c r="D323" s="341" t="s">
        <v>299</v>
      </c>
      <c r="E323" s="249" t="s">
        <v>73</v>
      </c>
      <c r="F323" s="276">
        <v>15000</v>
      </c>
      <c r="G323" s="249" t="s">
        <v>354</v>
      </c>
      <c r="H323" s="33">
        <f>I323+J323+K323</f>
        <v>1578000</v>
      </c>
      <c r="I323" s="33">
        <f>SUM(I324)</f>
        <v>1578000</v>
      </c>
      <c r="J323" s="33">
        <f>SUM(J324)</f>
        <v>0</v>
      </c>
      <c r="K323" s="33">
        <f>SUM(K324)</f>
        <v>0</v>
      </c>
      <c r="L323" s="51"/>
      <c r="M323" s="51"/>
      <c r="N323" s="51"/>
      <c r="O323" s="51"/>
      <c r="P323" s="51"/>
    </row>
    <row r="324" spans="1:16" ht="26.25" thickBot="1" x14ac:dyDescent="0.25">
      <c r="A324" s="188" t="s">
        <v>76</v>
      </c>
      <c r="B324" s="314" t="s">
        <v>307</v>
      </c>
      <c r="C324" s="241"/>
      <c r="D324" s="12"/>
      <c r="E324" s="122"/>
      <c r="F324" s="13"/>
      <c r="G324" s="29"/>
      <c r="H324" s="13">
        <f>I324+J324+K324</f>
        <v>1578000</v>
      </c>
      <c r="I324" s="13">
        <v>1578000</v>
      </c>
      <c r="J324" s="13"/>
      <c r="K324" s="13"/>
      <c r="L324" s="51"/>
      <c r="M324" s="51"/>
      <c r="N324" s="51"/>
      <c r="O324" s="51"/>
      <c r="P324" s="51"/>
    </row>
    <row r="325" spans="1:16" ht="42.75" customHeight="1" x14ac:dyDescent="0.2">
      <c r="A325" s="335" t="s">
        <v>304</v>
      </c>
      <c r="B325" s="121" t="s">
        <v>100</v>
      </c>
      <c r="C325" s="112" t="s">
        <v>305</v>
      </c>
      <c r="D325" s="341" t="s">
        <v>299</v>
      </c>
      <c r="E325" s="130" t="s">
        <v>629</v>
      </c>
      <c r="F325" s="103">
        <v>8160</v>
      </c>
      <c r="G325" s="257" t="s">
        <v>633</v>
      </c>
      <c r="H325" s="33">
        <f>I325+J325+K325</f>
        <v>2762500</v>
      </c>
      <c r="I325" s="33">
        <f>SUM(I326)</f>
        <v>2762500</v>
      </c>
      <c r="J325" s="33">
        <f t="shared" ref="J325:K325" si="83">SUM(J326)</f>
        <v>0</v>
      </c>
      <c r="K325" s="33">
        <f t="shared" si="83"/>
        <v>0</v>
      </c>
      <c r="L325" s="51"/>
      <c r="M325" s="51"/>
      <c r="N325" s="51"/>
      <c r="O325" s="51"/>
      <c r="P325" s="51"/>
    </row>
    <row r="326" spans="1:16" ht="26.25" thickBot="1" x14ac:dyDescent="0.25">
      <c r="A326" s="188" t="s">
        <v>76</v>
      </c>
      <c r="B326" s="314" t="s">
        <v>307</v>
      </c>
      <c r="C326" s="241"/>
      <c r="D326" s="12"/>
      <c r="E326" s="122"/>
      <c r="F326" s="13"/>
      <c r="G326" s="29"/>
      <c r="H326" s="13">
        <f t="shared" ref="H326:H345" si="84">I326+J326+K326</f>
        <v>2762500</v>
      </c>
      <c r="I326" s="13">
        <f>2733000+29500</f>
        <v>2762500</v>
      </c>
      <c r="J326" s="13"/>
      <c r="K326" s="13"/>
      <c r="L326" s="51"/>
      <c r="M326" s="51"/>
      <c r="N326" s="51"/>
      <c r="O326" s="51"/>
      <c r="P326" s="51"/>
    </row>
    <row r="327" spans="1:16" ht="63.75" x14ac:dyDescent="0.2">
      <c r="A327" s="134" t="s">
        <v>308</v>
      </c>
      <c r="B327" s="34" t="s">
        <v>108</v>
      </c>
      <c r="C327" s="89" t="s">
        <v>309</v>
      </c>
      <c r="D327" s="341" t="s">
        <v>299</v>
      </c>
      <c r="E327" s="107" t="s">
        <v>630</v>
      </c>
      <c r="F327" s="81">
        <v>15000</v>
      </c>
      <c r="G327" s="249" t="s">
        <v>632</v>
      </c>
      <c r="H327" s="33">
        <f t="shared" si="84"/>
        <v>2872333.33</v>
      </c>
      <c r="I327" s="33">
        <f>SUM(I328)</f>
        <v>2872333.33</v>
      </c>
      <c r="J327" s="33">
        <f>SUM(J328)</f>
        <v>0</v>
      </c>
      <c r="K327" s="33">
        <f>SUM(K328)</f>
        <v>0</v>
      </c>
      <c r="L327" s="51"/>
      <c r="M327" s="51"/>
      <c r="N327" s="51"/>
      <c r="O327" s="51"/>
      <c r="P327" s="51"/>
    </row>
    <row r="328" spans="1:16" ht="26.25" thickBot="1" x14ac:dyDescent="0.25">
      <c r="A328" s="188" t="s">
        <v>76</v>
      </c>
      <c r="B328" s="314" t="s">
        <v>307</v>
      </c>
      <c r="C328" s="241"/>
      <c r="D328" s="12"/>
      <c r="E328" s="122"/>
      <c r="F328" s="13"/>
      <c r="G328" s="29"/>
      <c r="H328" s="13">
        <f t="shared" si="84"/>
        <v>2872333.33</v>
      </c>
      <c r="I328" s="13">
        <v>2872333.33</v>
      </c>
      <c r="J328" s="13"/>
      <c r="K328" s="13"/>
      <c r="L328" s="51"/>
      <c r="M328" s="51"/>
      <c r="N328" s="51"/>
      <c r="O328" s="51"/>
      <c r="P328" s="51"/>
    </row>
    <row r="329" spans="1:16" ht="76.5" x14ac:dyDescent="0.2">
      <c r="A329" s="236" t="s">
        <v>310</v>
      </c>
      <c r="B329" s="98" t="s">
        <v>108</v>
      </c>
      <c r="C329" s="89" t="s">
        <v>311</v>
      </c>
      <c r="D329" s="341" t="s">
        <v>299</v>
      </c>
      <c r="E329" s="107" t="s">
        <v>312</v>
      </c>
      <c r="F329" s="81">
        <v>341110.44</v>
      </c>
      <c r="G329" s="249" t="s">
        <v>355</v>
      </c>
      <c r="H329" s="33">
        <f t="shared" si="84"/>
        <v>2385265</v>
      </c>
      <c r="I329" s="33">
        <f>SUM(I330)</f>
        <v>2385265</v>
      </c>
      <c r="J329" s="33">
        <f t="shared" ref="J329:K331" si="85">SUM(J330)</f>
        <v>0</v>
      </c>
      <c r="K329" s="33">
        <f t="shared" si="85"/>
        <v>0</v>
      </c>
      <c r="L329" s="51"/>
      <c r="M329" s="51"/>
      <c r="N329" s="51"/>
      <c r="O329" s="51"/>
      <c r="P329" s="51"/>
    </row>
    <row r="330" spans="1:16" ht="26.25" thickBot="1" x14ac:dyDescent="0.25">
      <c r="A330" s="188" t="s">
        <v>76</v>
      </c>
      <c r="B330" s="314" t="s">
        <v>307</v>
      </c>
      <c r="C330" s="131"/>
      <c r="D330" s="178"/>
      <c r="E330" s="122"/>
      <c r="F330" s="88"/>
      <c r="G330" s="122"/>
      <c r="H330" s="13">
        <f t="shared" si="84"/>
        <v>2385265</v>
      </c>
      <c r="I330" s="13">
        <v>2385265</v>
      </c>
      <c r="J330" s="13"/>
      <c r="K330" s="13"/>
      <c r="L330" s="51"/>
      <c r="M330" s="51"/>
      <c r="N330" s="51"/>
      <c r="O330" s="51"/>
      <c r="P330" s="51"/>
    </row>
    <row r="331" spans="1:16" ht="63.75" x14ac:dyDescent="0.2">
      <c r="A331" s="236" t="s">
        <v>350</v>
      </c>
      <c r="B331" s="242" t="s">
        <v>351</v>
      </c>
      <c r="C331" s="289" t="s">
        <v>356</v>
      </c>
      <c r="D331" s="297" t="s">
        <v>109</v>
      </c>
      <c r="E331" s="249">
        <v>1399872</v>
      </c>
      <c r="F331" s="276">
        <v>1394872</v>
      </c>
      <c r="G331" s="249">
        <f>E331-F331</f>
        <v>5000</v>
      </c>
      <c r="H331" s="33">
        <f t="shared" si="84"/>
        <v>5000</v>
      </c>
      <c r="I331" s="33">
        <f>SUM(I332)</f>
        <v>5000</v>
      </c>
      <c r="J331" s="33">
        <f t="shared" si="85"/>
        <v>0</v>
      </c>
      <c r="K331" s="33">
        <f t="shared" si="85"/>
        <v>0</v>
      </c>
      <c r="L331" s="51"/>
      <c r="M331" s="51"/>
      <c r="N331" s="51"/>
      <c r="O331" s="51"/>
      <c r="P331" s="51"/>
    </row>
    <row r="332" spans="1:16" ht="26.25" thickBot="1" x14ac:dyDescent="0.25">
      <c r="A332" s="188" t="s">
        <v>76</v>
      </c>
      <c r="B332" s="314" t="s">
        <v>307</v>
      </c>
      <c r="C332" s="131"/>
      <c r="D332" s="178"/>
      <c r="E332" s="122"/>
      <c r="F332" s="88"/>
      <c r="G332" s="122"/>
      <c r="H332" s="13">
        <f t="shared" si="84"/>
        <v>5000</v>
      </c>
      <c r="I332" s="13">
        <v>5000</v>
      </c>
      <c r="J332" s="13"/>
      <c r="K332" s="13"/>
      <c r="L332" s="51"/>
      <c r="M332" s="51"/>
      <c r="N332" s="51"/>
      <c r="O332" s="51"/>
      <c r="P332" s="51"/>
    </row>
    <row r="333" spans="1:16" ht="89.25" x14ac:dyDescent="0.2">
      <c r="A333" s="323" t="s">
        <v>319</v>
      </c>
      <c r="B333" s="24" t="s">
        <v>100</v>
      </c>
      <c r="C333" s="154" t="s">
        <v>320</v>
      </c>
      <c r="D333" s="343" t="s">
        <v>321</v>
      </c>
      <c r="E333" s="191">
        <v>17644438.41</v>
      </c>
      <c r="F333" s="97">
        <v>15394528.24</v>
      </c>
      <c r="G333" s="152">
        <f>E333-F333</f>
        <v>2249910.17</v>
      </c>
      <c r="H333" s="14">
        <f t="shared" si="84"/>
        <v>2233041.21</v>
      </c>
      <c r="I333" s="14">
        <f>SUM(I334:I335)</f>
        <v>2233041.21</v>
      </c>
      <c r="J333" s="14">
        <f t="shared" ref="J333" si="86">SUM(J334)</f>
        <v>0</v>
      </c>
      <c r="K333" s="14">
        <f t="shared" ref="K333" si="87">SUM(K334)</f>
        <v>0</v>
      </c>
      <c r="L333" s="51"/>
      <c r="M333" s="51"/>
      <c r="N333" s="51"/>
      <c r="O333" s="51"/>
      <c r="P333" s="51"/>
    </row>
    <row r="334" spans="1:16" ht="25.5" x14ac:dyDescent="0.2">
      <c r="A334" s="312" t="s">
        <v>77</v>
      </c>
      <c r="B334" s="313" t="s">
        <v>322</v>
      </c>
      <c r="C334" s="344"/>
      <c r="D334" s="264"/>
      <c r="E334" s="360"/>
      <c r="F334" s="326"/>
      <c r="G334" s="360"/>
      <c r="H334" s="15">
        <f t="shared" si="84"/>
        <v>111652.06</v>
      </c>
      <c r="I334" s="15">
        <v>111652.06</v>
      </c>
      <c r="J334" s="15"/>
      <c r="K334" s="15"/>
      <c r="L334" s="51"/>
      <c r="M334" s="51"/>
      <c r="N334" s="51"/>
      <c r="O334" s="51"/>
      <c r="P334" s="51"/>
    </row>
    <row r="335" spans="1:16" ht="26.25" thickBot="1" x14ac:dyDescent="0.25">
      <c r="A335" s="188" t="s">
        <v>78</v>
      </c>
      <c r="B335" s="314" t="s">
        <v>422</v>
      </c>
      <c r="C335" s="131"/>
      <c r="D335" s="178"/>
      <c r="E335" s="122"/>
      <c r="F335" s="88"/>
      <c r="G335" s="122"/>
      <c r="H335" s="13">
        <f t="shared" si="84"/>
        <v>2121389.15</v>
      </c>
      <c r="I335" s="13">
        <v>2121389.15</v>
      </c>
      <c r="J335" s="13"/>
      <c r="K335" s="13"/>
      <c r="L335" s="51"/>
      <c r="M335" s="51"/>
      <c r="N335" s="51"/>
      <c r="O335" s="51"/>
      <c r="P335" s="51"/>
    </row>
    <row r="336" spans="1:16" ht="63.75" x14ac:dyDescent="0.2">
      <c r="A336" s="134" t="s">
        <v>323</v>
      </c>
      <c r="B336" s="34" t="s">
        <v>100</v>
      </c>
      <c r="C336" s="89" t="s">
        <v>324</v>
      </c>
      <c r="D336" s="341" t="s">
        <v>321</v>
      </c>
      <c r="E336" s="107">
        <v>4906720</v>
      </c>
      <c r="F336" s="81">
        <v>2052631</v>
      </c>
      <c r="G336" s="107">
        <f>E336-F336</f>
        <v>2854089</v>
      </c>
      <c r="H336" s="33">
        <f t="shared" si="84"/>
        <v>2766191.18</v>
      </c>
      <c r="I336" s="33">
        <f>SUM(I337:I338)</f>
        <v>2766191.18</v>
      </c>
      <c r="J336" s="33">
        <f t="shared" ref="J336:K336" si="88">SUM(J337)</f>
        <v>0</v>
      </c>
      <c r="K336" s="33">
        <f t="shared" si="88"/>
        <v>0</v>
      </c>
      <c r="L336" s="51"/>
      <c r="M336" s="51"/>
      <c r="N336" s="51"/>
      <c r="O336" s="51"/>
      <c r="P336" s="51"/>
    </row>
    <row r="337" spans="1:18" ht="25.5" x14ac:dyDescent="0.2">
      <c r="A337" s="186" t="s">
        <v>77</v>
      </c>
      <c r="B337" s="192" t="s">
        <v>325</v>
      </c>
      <c r="C337" s="113"/>
      <c r="D337" s="373"/>
      <c r="E337" s="374"/>
      <c r="F337" s="106"/>
      <c r="G337" s="374"/>
      <c r="H337" s="8">
        <f t="shared" si="84"/>
        <v>138309.56</v>
      </c>
      <c r="I337" s="8">
        <f>162487.72-24178.16</f>
        <v>138309.56</v>
      </c>
      <c r="J337" s="8"/>
      <c r="K337" s="8"/>
      <c r="L337" s="51"/>
      <c r="M337" s="51"/>
      <c r="N337" s="51"/>
      <c r="O337" s="51"/>
      <c r="P337" s="51"/>
    </row>
    <row r="338" spans="1:18" ht="26.25" thickBot="1" x14ac:dyDescent="0.25">
      <c r="A338" s="188" t="s">
        <v>78</v>
      </c>
      <c r="B338" s="314" t="s">
        <v>421</v>
      </c>
      <c r="C338" s="131"/>
      <c r="D338" s="348"/>
      <c r="E338" s="349"/>
      <c r="F338" s="350"/>
      <c r="G338" s="349"/>
      <c r="H338" s="13">
        <f t="shared" si="84"/>
        <v>2627881.62</v>
      </c>
      <c r="I338" s="13">
        <f>3087266.59-459384.97</f>
        <v>2627881.62</v>
      </c>
      <c r="J338" s="13"/>
      <c r="K338" s="13"/>
      <c r="L338" s="51"/>
      <c r="M338" s="51"/>
      <c r="N338" s="51"/>
      <c r="O338" s="51"/>
      <c r="P338" s="51"/>
    </row>
    <row r="339" spans="1:18" ht="63.75" x14ac:dyDescent="0.2">
      <c r="A339" s="134" t="s">
        <v>326</v>
      </c>
      <c r="B339" s="98" t="s">
        <v>100</v>
      </c>
      <c r="C339" s="89" t="s">
        <v>327</v>
      </c>
      <c r="D339" s="32" t="s">
        <v>109</v>
      </c>
      <c r="E339" s="249">
        <f>F339+G339</f>
        <v>5362947.74</v>
      </c>
      <c r="F339" s="81">
        <v>1621039.93</v>
      </c>
      <c r="G339" s="107">
        <v>3741907.81</v>
      </c>
      <c r="H339" s="33">
        <f t="shared" si="84"/>
        <v>3508197.65</v>
      </c>
      <c r="I339" s="33">
        <f>SUM(I340:I341)</f>
        <v>3508197.65</v>
      </c>
      <c r="J339" s="33">
        <f t="shared" ref="J339" si="89">SUM(J340)</f>
        <v>0</v>
      </c>
      <c r="K339" s="33">
        <f t="shared" ref="K339" si="90">SUM(K340)</f>
        <v>0</v>
      </c>
      <c r="L339" s="51"/>
      <c r="M339" s="51"/>
      <c r="N339" s="51"/>
      <c r="O339" s="51"/>
      <c r="P339" s="51"/>
    </row>
    <row r="340" spans="1:18" ht="25.5" x14ac:dyDescent="0.2">
      <c r="A340" s="186" t="s">
        <v>77</v>
      </c>
      <c r="B340" s="192" t="s">
        <v>328</v>
      </c>
      <c r="C340" s="113"/>
      <c r="D340" s="373"/>
      <c r="E340" s="374"/>
      <c r="F340" s="106"/>
      <c r="G340" s="374"/>
      <c r="H340" s="8">
        <f t="shared" si="84"/>
        <v>175409.88</v>
      </c>
      <c r="I340" s="8">
        <f>175995.39-585.51</f>
        <v>175409.88</v>
      </c>
      <c r="J340" s="8"/>
      <c r="K340" s="8"/>
      <c r="L340" s="51"/>
      <c r="M340" s="51"/>
      <c r="N340" s="51"/>
      <c r="O340" s="51"/>
      <c r="P340" s="51"/>
    </row>
    <row r="341" spans="1:18" ht="26.25" thickBot="1" x14ac:dyDescent="0.25">
      <c r="A341" s="188" t="s">
        <v>78</v>
      </c>
      <c r="B341" s="314" t="s">
        <v>423</v>
      </c>
      <c r="C341" s="131"/>
      <c r="D341" s="348"/>
      <c r="E341" s="349"/>
      <c r="F341" s="350"/>
      <c r="G341" s="349"/>
      <c r="H341" s="13">
        <f t="shared" si="84"/>
        <v>3332787.77</v>
      </c>
      <c r="I341" s="13">
        <f>3343912.42-11124.65</f>
        <v>3332787.77</v>
      </c>
      <c r="J341" s="13"/>
      <c r="K341" s="13"/>
      <c r="L341" s="51"/>
      <c r="M341" s="51"/>
      <c r="N341" s="51"/>
      <c r="O341" s="51"/>
      <c r="P341" s="51"/>
    </row>
    <row r="342" spans="1:18" ht="63.75" x14ac:dyDescent="0.2">
      <c r="A342" s="236" t="s">
        <v>584</v>
      </c>
      <c r="B342" s="242" t="s">
        <v>108</v>
      </c>
      <c r="C342" s="89" t="s">
        <v>216</v>
      </c>
      <c r="D342" s="341" t="s">
        <v>571</v>
      </c>
      <c r="E342" s="107">
        <v>1560340</v>
      </c>
      <c r="F342" s="81"/>
      <c r="G342" s="107">
        <f>E342-F342</f>
        <v>1560340</v>
      </c>
      <c r="H342" s="33">
        <f t="shared" si="84"/>
        <v>1560340</v>
      </c>
      <c r="I342" s="33">
        <f>SUM(I343)</f>
        <v>468102</v>
      </c>
      <c r="J342" s="33">
        <f>SUM(J343)</f>
        <v>1092238</v>
      </c>
      <c r="K342" s="33">
        <f>SUM(K343)</f>
        <v>0</v>
      </c>
      <c r="L342" s="51"/>
      <c r="M342" s="51"/>
      <c r="N342" s="51"/>
      <c r="O342" s="51"/>
      <c r="P342" s="51"/>
    </row>
    <row r="343" spans="1:18" ht="26.25" thickBot="1" x14ac:dyDescent="0.25">
      <c r="A343" s="90" t="s">
        <v>76</v>
      </c>
      <c r="B343" s="96" t="s">
        <v>249</v>
      </c>
      <c r="C343" s="143"/>
      <c r="D343" s="459"/>
      <c r="E343" s="460"/>
      <c r="F343" s="461"/>
      <c r="G343" s="460"/>
      <c r="H343" s="26">
        <f t="shared" si="84"/>
        <v>1560340</v>
      </c>
      <c r="I343" s="26">
        <v>468102</v>
      </c>
      <c r="J343" s="26">
        <v>1092238</v>
      </c>
      <c r="K343" s="26"/>
      <c r="L343" s="51"/>
      <c r="M343" s="51"/>
      <c r="N343" s="51"/>
      <c r="O343" s="51"/>
      <c r="P343" s="51"/>
    </row>
    <row r="344" spans="1:18" ht="51" x14ac:dyDescent="0.2">
      <c r="A344" s="94" t="s">
        <v>181</v>
      </c>
      <c r="B344" s="98" t="s">
        <v>108</v>
      </c>
      <c r="C344" s="289" t="s">
        <v>185</v>
      </c>
      <c r="D344" s="297" t="s">
        <v>83</v>
      </c>
      <c r="E344" s="249" t="s">
        <v>190</v>
      </c>
      <c r="F344" s="276"/>
      <c r="G344" s="249" t="s">
        <v>190</v>
      </c>
      <c r="H344" s="33">
        <f t="shared" si="84"/>
        <v>1100000</v>
      </c>
      <c r="I344" s="33">
        <f>SUM(I345)</f>
        <v>0</v>
      </c>
      <c r="J344" s="33">
        <f>SUM(J345)</f>
        <v>1100000</v>
      </c>
      <c r="K344" s="33">
        <f>SUM(K345)</f>
        <v>0</v>
      </c>
      <c r="L344" s="51"/>
      <c r="M344" s="51"/>
      <c r="N344" s="51"/>
      <c r="O344" s="51"/>
      <c r="P344" s="51"/>
    </row>
    <row r="345" spans="1:18" ht="26.25" thickBot="1" x14ac:dyDescent="0.25">
      <c r="A345" s="90" t="s">
        <v>76</v>
      </c>
      <c r="B345" s="96" t="s">
        <v>249</v>
      </c>
      <c r="C345" s="298"/>
      <c r="D345" s="299"/>
      <c r="E345" s="300"/>
      <c r="F345" s="295"/>
      <c r="G345" s="300"/>
      <c r="H345" s="26">
        <f t="shared" si="84"/>
        <v>1100000</v>
      </c>
      <c r="I345" s="26"/>
      <c r="J345" s="26">
        <v>1100000</v>
      </c>
      <c r="K345" s="26"/>
      <c r="L345" s="51"/>
      <c r="M345" s="51"/>
      <c r="N345" s="51"/>
      <c r="O345" s="51"/>
      <c r="P345" s="51"/>
    </row>
    <row r="346" spans="1:18" ht="40.5" customHeight="1" x14ac:dyDescent="0.2">
      <c r="A346" s="134" t="s">
        <v>150</v>
      </c>
      <c r="B346" s="34" t="s">
        <v>108</v>
      </c>
      <c r="C346" s="289" t="s">
        <v>186</v>
      </c>
      <c r="D346" s="297" t="s">
        <v>83</v>
      </c>
      <c r="E346" s="249" t="s">
        <v>192</v>
      </c>
      <c r="F346" s="276"/>
      <c r="G346" s="249" t="s">
        <v>192</v>
      </c>
      <c r="H346" s="33">
        <f>I346+J346+K346</f>
        <v>2500000</v>
      </c>
      <c r="I346" s="33">
        <f>SUM(I347:I347)</f>
        <v>0</v>
      </c>
      <c r="J346" s="33">
        <f t="shared" ref="J346:K346" si="91">SUM(J347:J347)</f>
        <v>2500000</v>
      </c>
      <c r="K346" s="33">
        <f t="shared" si="91"/>
        <v>0</v>
      </c>
      <c r="L346" s="51"/>
      <c r="M346" s="51"/>
      <c r="N346" s="51"/>
      <c r="O346" s="51"/>
      <c r="P346" s="51"/>
    </row>
    <row r="347" spans="1:18" ht="29.25" customHeight="1" thickBot="1" x14ac:dyDescent="0.25">
      <c r="A347" s="315" t="s">
        <v>76</v>
      </c>
      <c r="B347" s="96" t="s">
        <v>249</v>
      </c>
      <c r="C347" s="303"/>
      <c r="D347" s="303"/>
      <c r="E347" s="259"/>
      <c r="F347" s="248"/>
      <c r="G347" s="259"/>
      <c r="H347" s="13">
        <f t="shared" si="81"/>
        <v>2500000</v>
      </c>
      <c r="I347" s="13"/>
      <c r="J347" s="13">
        <f>3500000-1000000</f>
        <v>2500000</v>
      </c>
      <c r="K347" s="13"/>
      <c r="L347" s="194"/>
      <c r="M347" s="51"/>
      <c r="N347" s="51"/>
    </row>
    <row r="348" spans="1:18" ht="68.25" customHeight="1" x14ac:dyDescent="0.2">
      <c r="A348" s="134" t="s">
        <v>241</v>
      </c>
      <c r="B348" s="34" t="s">
        <v>108</v>
      </c>
      <c r="C348" s="289" t="s">
        <v>187</v>
      </c>
      <c r="D348" s="297" t="s">
        <v>83</v>
      </c>
      <c r="E348" s="249" t="s">
        <v>196</v>
      </c>
      <c r="F348" s="276"/>
      <c r="G348" s="249" t="s">
        <v>196</v>
      </c>
      <c r="H348" s="33">
        <f>I348+J348+K348</f>
        <v>400000</v>
      </c>
      <c r="I348" s="33">
        <f>SUM(I349:I349)</f>
        <v>0</v>
      </c>
      <c r="J348" s="33">
        <f>SUM(J349:J349)</f>
        <v>400000</v>
      </c>
      <c r="K348" s="33">
        <f>SUM(K349:K349)</f>
        <v>0</v>
      </c>
      <c r="L348" s="52"/>
      <c r="M348" s="52"/>
      <c r="N348" s="52"/>
      <c r="O348" s="52"/>
      <c r="P348" s="52"/>
      <c r="Q348" s="52"/>
      <c r="R348" s="52"/>
    </row>
    <row r="349" spans="1:18" ht="26.25" thickBot="1" x14ac:dyDescent="0.25">
      <c r="A349" s="16" t="s">
        <v>76</v>
      </c>
      <c r="B349" s="96" t="s">
        <v>249</v>
      </c>
      <c r="C349" s="353"/>
      <c r="D349" s="303"/>
      <c r="E349" s="292"/>
      <c r="F349" s="293"/>
      <c r="G349" s="292"/>
      <c r="H349" s="13">
        <f t="shared" ref="H349" si="92">I349+J349+K349</f>
        <v>400000</v>
      </c>
      <c r="I349" s="13"/>
      <c r="J349" s="13">
        <f>2000000-1000000-600000</f>
        <v>400000</v>
      </c>
      <c r="K349" s="13"/>
      <c r="L349" s="52"/>
      <c r="M349" s="51"/>
      <c r="N349" s="52"/>
      <c r="O349" s="52"/>
      <c r="P349" s="52"/>
      <c r="Q349" s="52"/>
      <c r="R349" s="52"/>
    </row>
    <row r="350" spans="1:18" ht="67.5" customHeight="1" x14ac:dyDescent="0.2">
      <c r="A350" s="134" t="s">
        <v>151</v>
      </c>
      <c r="B350" s="34" t="s">
        <v>108</v>
      </c>
      <c r="C350" s="289" t="s">
        <v>188</v>
      </c>
      <c r="D350" s="301" t="s">
        <v>83</v>
      </c>
      <c r="E350" s="249" t="s">
        <v>197</v>
      </c>
      <c r="F350" s="276"/>
      <c r="G350" s="249" t="s">
        <v>197</v>
      </c>
      <c r="H350" s="33">
        <f>I350+J350+K350</f>
        <v>400000</v>
      </c>
      <c r="I350" s="33">
        <f>SUM(I351:I351)</f>
        <v>0</v>
      </c>
      <c r="J350" s="33">
        <f>SUM(J351:J351)</f>
        <v>400000</v>
      </c>
      <c r="K350" s="33">
        <f>SUM(K351:K351)</f>
        <v>0</v>
      </c>
      <c r="L350" s="52"/>
      <c r="M350" s="52"/>
      <c r="N350" s="52"/>
      <c r="O350" s="52"/>
      <c r="P350" s="52"/>
      <c r="Q350" s="52"/>
      <c r="R350" s="52"/>
    </row>
    <row r="351" spans="1:18" ht="26.25" thickBot="1" x14ac:dyDescent="0.25">
      <c r="A351" s="16" t="s">
        <v>76</v>
      </c>
      <c r="B351" s="96" t="s">
        <v>249</v>
      </c>
      <c r="C351" s="302"/>
      <c r="D351" s="303"/>
      <c r="E351" s="292"/>
      <c r="F351" s="293"/>
      <c r="G351" s="292"/>
      <c r="H351" s="13">
        <f t="shared" ref="H351" si="93">I351+J351+K351</f>
        <v>400000</v>
      </c>
      <c r="I351" s="13"/>
      <c r="J351" s="13">
        <f>2000000-1000000-600000</f>
        <v>400000</v>
      </c>
      <c r="K351" s="13"/>
      <c r="L351" s="52"/>
      <c r="M351" s="51"/>
      <c r="N351" s="52"/>
      <c r="O351" s="52" t="s">
        <v>246</v>
      </c>
      <c r="P351" s="52"/>
      <c r="Q351" s="52"/>
      <c r="R351" s="52"/>
    </row>
    <row r="352" spans="1:18" ht="54.75" customHeight="1" x14ac:dyDescent="0.2">
      <c r="A352" s="134" t="s">
        <v>245</v>
      </c>
      <c r="B352" s="34" t="s">
        <v>108</v>
      </c>
      <c r="C352" s="289" t="s">
        <v>54</v>
      </c>
      <c r="D352" s="289" t="s">
        <v>152</v>
      </c>
      <c r="E352" s="249" t="s">
        <v>199</v>
      </c>
      <c r="F352" s="276"/>
      <c r="G352" s="249" t="s">
        <v>199</v>
      </c>
      <c r="H352" s="33">
        <f>I352+J352+K352</f>
        <v>1000000</v>
      </c>
      <c r="I352" s="33">
        <f>SUM(I353:I353)</f>
        <v>0</v>
      </c>
      <c r="J352" s="33">
        <f>SUM(J353:J353)</f>
        <v>1000000</v>
      </c>
      <c r="K352" s="33">
        <f>SUM(K353:K353)</f>
        <v>0</v>
      </c>
      <c r="L352" s="52"/>
      <c r="M352" s="52"/>
      <c r="N352" s="52"/>
      <c r="O352" s="52"/>
      <c r="P352" s="52"/>
      <c r="Q352" s="52"/>
      <c r="R352" s="52"/>
    </row>
    <row r="353" spans="1:18" ht="26.25" thickBot="1" x14ac:dyDescent="0.25">
      <c r="A353" s="16" t="s">
        <v>76</v>
      </c>
      <c r="B353" s="96" t="s">
        <v>249</v>
      </c>
      <c r="C353" s="302"/>
      <c r="D353" s="303"/>
      <c r="E353" s="292"/>
      <c r="F353" s="293"/>
      <c r="G353" s="292"/>
      <c r="H353" s="8">
        <f t="shared" ref="H353" si="94">I353+J353+K353</f>
        <v>1000000</v>
      </c>
      <c r="I353" s="8"/>
      <c r="J353" s="8">
        <f>2000000-1000000</f>
        <v>1000000</v>
      </c>
      <c r="K353" s="8"/>
      <c r="L353" s="52"/>
      <c r="M353" s="51"/>
      <c r="N353" s="52"/>
      <c r="O353" s="52"/>
      <c r="P353" s="52"/>
      <c r="Q353" s="52"/>
      <c r="R353" s="52"/>
    </row>
    <row r="354" spans="1:18" ht="42.75" customHeight="1" x14ac:dyDescent="0.2">
      <c r="A354" s="134" t="s">
        <v>153</v>
      </c>
      <c r="B354" s="34" t="s">
        <v>108</v>
      </c>
      <c r="C354" s="289" t="s">
        <v>189</v>
      </c>
      <c r="D354" s="289" t="s">
        <v>152</v>
      </c>
      <c r="E354" s="249" t="s">
        <v>200</v>
      </c>
      <c r="F354" s="276"/>
      <c r="G354" s="249" t="s">
        <v>200</v>
      </c>
      <c r="H354" s="33">
        <f>I354+J354+K354</f>
        <v>1000000</v>
      </c>
      <c r="I354" s="33">
        <f>SUM(I355:I355)</f>
        <v>0</v>
      </c>
      <c r="J354" s="33">
        <f>SUM(J355:J355)</f>
        <v>1000000</v>
      </c>
      <c r="K354" s="33">
        <f>SUM(K355:K355)</f>
        <v>0</v>
      </c>
      <c r="L354" s="52"/>
      <c r="M354" s="52"/>
      <c r="N354" s="52"/>
      <c r="O354" s="52"/>
      <c r="P354" s="52"/>
      <c r="Q354" s="52"/>
      <c r="R354" s="52"/>
    </row>
    <row r="355" spans="1:18" ht="26.25" thickBot="1" x14ac:dyDescent="0.25">
      <c r="A355" s="16" t="s">
        <v>76</v>
      </c>
      <c r="B355" s="96" t="s">
        <v>249</v>
      </c>
      <c r="C355" s="205"/>
      <c r="D355" s="231"/>
      <c r="E355" s="212"/>
      <c r="F355" s="206"/>
      <c r="G355" s="223"/>
      <c r="H355" s="13">
        <f t="shared" ref="H355" si="95">I355+J355+K355</f>
        <v>1000000</v>
      </c>
      <c r="I355" s="13"/>
      <c r="J355" s="13">
        <v>1000000</v>
      </c>
      <c r="K355" s="13"/>
      <c r="L355" s="52"/>
      <c r="M355" s="52"/>
      <c r="N355" s="52"/>
      <c r="O355" s="52"/>
      <c r="P355" s="52"/>
      <c r="Q355" s="52"/>
      <c r="R355" s="52"/>
    </row>
    <row r="356" spans="1:18" ht="38.25" x14ac:dyDescent="0.2">
      <c r="A356" s="94" t="s">
        <v>154</v>
      </c>
      <c r="B356" s="41" t="s">
        <v>108</v>
      </c>
      <c r="C356" s="289" t="s">
        <v>191</v>
      </c>
      <c r="D356" s="289" t="s">
        <v>152</v>
      </c>
      <c r="E356" s="249" t="s">
        <v>71</v>
      </c>
      <c r="F356" s="276"/>
      <c r="G356" s="249" t="s">
        <v>71</v>
      </c>
      <c r="H356" s="33">
        <f>I356+J356+K356</f>
        <v>1000000</v>
      </c>
      <c r="I356" s="33">
        <f>SUM(I357:I357)</f>
        <v>0</v>
      </c>
      <c r="J356" s="33">
        <f>SUM(J357:J357)</f>
        <v>1000000</v>
      </c>
      <c r="K356" s="33">
        <f>SUM(K357:K357)</f>
        <v>0</v>
      </c>
      <c r="L356" s="52"/>
      <c r="M356" s="52"/>
      <c r="N356" s="52"/>
      <c r="O356" s="52"/>
      <c r="P356" s="52"/>
      <c r="Q356" s="52"/>
      <c r="R356" s="52"/>
    </row>
    <row r="357" spans="1:18" ht="26.25" thickBot="1" x14ac:dyDescent="0.25">
      <c r="A357" s="16" t="s">
        <v>76</v>
      </c>
      <c r="B357" s="96" t="s">
        <v>249</v>
      </c>
      <c r="C357" s="302"/>
      <c r="D357" s="303"/>
      <c r="E357" s="292"/>
      <c r="F357" s="293"/>
      <c r="G357" s="292"/>
      <c r="H357" s="13">
        <f t="shared" ref="H357:H371" si="96">I357+J357+K357</f>
        <v>1000000</v>
      </c>
      <c r="I357" s="13"/>
      <c r="J357" s="13">
        <f>2000000-1000000</f>
        <v>1000000</v>
      </c>
      <c r="K357" s="13"/>
      <c r="L357" s="52"/>
      <c r="M357" s="51"/>
      <c r="N357" s="52"/>
      <c r="O357" s="52"/>
      <c r="P357" s="52"/>
      <c r="Q357" s="52"/>
      <c r="R357" s="52"/>
    </row>
    <row r="358" spans="1:18" ht="51" x14ac:dyDescent="0.2">
      <c r="A358" s="134" t="s">
        <v>180</v>
      </c>
      <c r="B358" s="98" t="s">
        <v>108</v>
      </c>
      <c r="C358" s="289" t="s">
        <v>193</v>
      </c>
      <c r="D358" s="289" t="s">
        <v>152</v>
      </c>
      <c r="E358" s="249" t="s">
        <v>201</v>
      </c>
      <c r="F358" s="276"/>
      <c r="G358" s="249" t="s">
        <v>201</v>
      </c>
      <c r="H358" s="33">
        <f t="shared" si="96"/>
        <v>378630.74000000005</v>
      </c>
      <c r="I358" s="33">
        <f>SUM(I359)</f>
        <v>0</v>
      </c>
      <c r="J358" s="33">
        <f>SUM(J359)</f>
        <v>378630.74000000005</v>
      </c>
      <c r="K358" s="33">
        <f>SUM(K359)</f>
        <v>0</v>
      </c>
      <c r="L358" s="52"/>
      <c r="M358" s="52"/>
      <c r="N358" s="52"/>
      <c r="O358" s="52"/>
      <c r="P358" s="52"/>
      <c r="Q358" s="52"/>
      <c r="R358" s="52"/>
    </row>
    <row r="359" spans="1:18" ht="26.25" thickBot="1" x14ac:dyDescent="0.25">
      <c r="A359" s="16" t="s">
        <v>76</v>
      </c>
      <c r="B359" s="96" t="s">
        <v>249</v>
      </c>
      <c r="C359" s="205"/>
      <c r="D359" s="229"/>
      <c r="E359" s="212"/>
      <c r="F359" s="206"/>
      <c r="G359" s="212"/>
      <c r="H359" s="13">
        <f t="shared" si="96"/>
        <v>378630.74000000005</v>
      </c>
      <c r="I359" s="13"/>
      <c r="J359" s="248">
        <f>1389938.32-919798.27-91509.31</f>
        <v>378630.74000000005</v>
      </c>
      <c r="K359" s="13"/>
      <c r="L359" s="52"/>
      <c r="M359" s="52"/>
      <c r="N359" s="52"/>
      <c r="O359" s="52"/>
      <c r="P359" s="52"/>
      <c r="Q359" s="52"/>
      <c r="R359" s="52"/>
    </row>
    <row r="360" spans="1:18" ht="69" customHeight="1" x14ac:dyDescent="0.2">
      <c r="A360" s="134" t="s">
        <v>155</v>
      </c>
      <c r="B360" s="98" t="s">
        <v>108</v>
      </c>
      <c r="C360" s="289" t="s">
        <v>194</v>
      </c>
      <c r="D360" s="89" t="s">
        <v>152</v>
      </c>
      <c r="E360" s="249" t="s">
        <v>202</v>
      </c>
      <c r="F360" s="276"/>
      <c r="G360" s="249" t="s">
        <v>202</v>
      </c>
      <c r="H360" s="33">
        <f t="shared" si="96"/>
        <v>507762</v>
      </c>
      <c r="I360" s="33">
        <f>SUM(I361)</f>
        <v>0</v>
      </c>
      <c r="J360" s="33">
        <f>SUM(J361)</f>
        <v>507762</v>
      </c>
      <c r="K360" s="33">
        <f>SUM(K361)</f>
        <v>0</v>
      </c>
      <c r="L360" s="52"/>
      <c r="M360" s="52"/>
      <c r="N360" s="52"/>
      <c r="O360" s="52"/>
      <c r="P360" s="52"/>
      <c r="Q360" s="52"/>
      <c r="R360" s="52"/>
    </row>
    <row r="361" spans="1:18" ht="26.25" thickBot="1" x14ac:dyDescent="0.25">
      <c r="A361" s="78" t="s">
        <v>76</v>
      </c>
      <c r="B361" s="96" t="s">
        <v>249</v>
      </c>
      <c r="C361" s="234"/>
      <c r="D361" s="232"/>
      <c r="E361" s="214"/>
      <c r="F361" s="233"/>
      <c r="G361" s="224"/>
      <c r="H361" s="26">
        <f t="shared" si="96"/>
        <v>507762</v>
      </c>
      <c r="I361" s="26"/>
      <c r="J361" s="26">
        <f>2600000-1000000-1092238</f>
        <v>507762</v>
      </c>
      <c r="K361" s="26"/>
      <c r="L361" s="52"/>
      <c r="M361" s="51"/>
      <c r="N361" s="52"/>
      <c r="O361" s="52"/>
      <c r="P361" s="52"/>
      <c r="Q361" s="52"/>
      <c r="R361" s="52"/>
    </row>
    <row r="362" spans="1:18" ht="38.25" x14ac:dyDescent="0.2">
      <c r="A362" s="94" t="s">
        <v>156</v>
      </c>
      <c r="B362" s="98" t="s">
        <v>108</v>
      </c>
      <c r="C362" s="289" t="s">
        <v>195</v>
      </c>
      <c r="D362" s="297" t="s">
        <v>138</v>
      </c>
      <c r="E362" s="249" t="s">
        <v>203</v>
      </c>
      <c r="F362" s="278"/>
      <c r="G362" s="249" t="s">
        <v>203</v>
      </c>
      <c r="H362" s="33">
        <f t="shared" si="96"/>
        <v>334845.82000000007</v>
      </c>
      <c r="I362" s="33">
        <f>SUM(I363)</f>
        <v>0</v>
      </c>
      <c r="J362" s="33">
        <f>SUM(J363)</f>
        <v>0</v>
      </c>
      <c r="K362" s="33">
        <f>SUM(K363)</f>
        <v>334845.82000000007</v>
      </c>
      <c r="L362" s="54"/>
      <c r="N362" s="51"/>
    </row>
    <row r="363" spans="1:18" ht="26.25" thickBot="1" x14ac:dyDescent="0.25">
      <c r="A363" s="90" t="s">
        <v>76</v>
      </c>
      <c r="B363" s="96" t="s">
        <v>249</v>
      </c>
      <c r="C363" s="302"/>
      <c r="D363" s="303"/>
      <c r="E363" s="292"/>
      <c r="F363" s="293"/>
      <c r="G363" s="292"/>
      <c r="H363" s="13">
        <f t="shared" si="96"/>
        <v>334845.82000000007</v>
      </c>
      <c r="I363" s="13"/>
      <c r="J363" s="13"/>
      <c r="K363" s="13">
        <f>1600000-1265154.18</f>
        <v>334845.82000000007</v>
      </c>
      <c r="L363" s="54"/>
      <c r="N363" s="51"/>
    </row>
    <row r="364" spans="1:18" ht="43.5" customHeight="1" x14ac:dyDescent="0.2">
      <c r="A364" s="94" t="s">
        <v>157</v>
      </c>
      <c r="B364" s="98" t="s">
        <v>108</v>
      </c>
      <c r="C364" s="289" t="s">
        <v>198</v>
      </c>
      <c r="D364" s="297" t="s">
        <v>138</v>
      </c>
      <c r="E364" s="249" t="s">
        <v>73</v>
      </c>
      <c r="F364" s="278"/>
      <c r="G364" s="249" t="s">
        <v>73</v>
      </c>
      <c r="H364" s="33">
        <f t="shared" si="96"/>
        <v>1500000</v>
      </c>
      <c r="I364" s="33">
        <f>SUM(I365)</f>
        <v>0</v>
      </c>
      <c r="J364" s="33">
        <f>SUM(J365)</f>
        <v>0</v>
      </c>
      <c r="K364" s="33">
        <f>SUM(K365)</f>
        <v>1500000</v>
      </c>
      <c r="L364" s="54"/>
      <c r="N364" s="51"/>
    </row>
    <row r="365" spans="1:18" ht="26.25" thickBot="1" x14ac:dyDescent="0.25">
      <c r="A365" s="90" t="s">
        <v>76</v>
      </c>
      <c r="B365" s="96" t="s">
        <v>249</v>
      </c>
      <c r="C365" s="302"/>
      <c r="D365" s="303"/>
      <c r="E365" s="292"/>
      <c r="F365" s="293"/>
      <c r="G365" s="292"/>
      <c r="H365" s="13">
        <f t="shared" si="96"/>
        <v>1500000</v>
      </c>
      <c r="I365" s="13"/>
      <c r="J365" s="13"/>
      <c r="K365" s="13">
        <v>1500000</v>
      </c>
      <c r="L365" s="54"/>
      <c r="N365" s="51"/>
    </row>
    <row r="366" spans="1:18" ht="38.25" x14ac:dyDescent="0.2">
      <c r="A366" s="94" t="s">
        <v>179</v>
      </c>
      <c r="B366" s="98" t="s">
        <v>108</v>
      </c>
      <c r="C366" s="289" t="s">
        <v>189</v>
      </c>
      <c r="D366" s="297" t="s">
        <v>138</v>
      </c>
      <c r="E366" s="249" t="s">
        <v>204</v>
      </c>
      <c r="F366" s="276"/>
      <c r="G366" s="249" t="s">
        <v>204</v>
      </c>
      <c r="H366" s="33">
        <f t="shared" si="96"/>
        <v>2000000</v>
      </c>
      <c r="I366" s="33">
        <f>SUM(I367)</f>
        <v>0</v>
      </c>
      <c r="J366" s="33">
        <f>SUM(J367)</f>
        <v>0</v>
      </c>
      <c r="K366" s="33">
        <f>SUM(K367)</f>
        <v>2000000</v>
      </c>
      <c r="L366" s="54"/>
      <c r="N366" s="51"/>
    </row>
    <row r="367" spans="1:18" ht="26.25" thickBot="1" x14ac:dyDescent="0.25">
      <c r="A367" s="90" t="s">
        <v>76</v>
      </c>
      <c r="B367" s="96" t="s">
        <v>249</v>
      </c>
      <c r="C367" s="205"/>
      <c r="D367" s="231"/>
      <c r="E367" s="212"/>
      <c r="F367" s="206"/>
      <c r="G367" s="223"/>
      <c r="H367" s="13">
        <f t="shared" si="96"/>
        <v>2000000</v>
      </c>
      <c r="I367" s="13"/>
      <c r="J367" s="13"/>
      <c r="K367" s="13">
        <v>2000000</v>
      </c>
      <c r="L367" s="54"/>
      <c r="N367" s="51"/>
    </row>
    <row r="368" spans="1:18" ht="89.25" x14ac:dyDescent="0.2">
      <c r="A368" s="94" t="s">
        <v>178</v>
      </c>
      <c r="B368" s="98" t="s">
        <v>108</v>
      </c>
      <c r="C368" s="289" t="s">
        <v>216</v>
      </c>
      <c r="D368" s="32" t="s">
        <v>138</v>
      </c>
      <c r="E368" s="249" t="s">
        <v>205</v>
      </c>
      <c r="F368" s="276"/>
      <c r="G368" s="249" t="s">
        <v>205</v>
      </c>
      <c r="H368" s="33">
        <f t="shared" si="96"/>
        <v>1148425.32</v>
      </c>
      <c r="I368" s="33">
        <f>SUM(I369)</f>
        <v>0</v>
      </c>
      <c r="J368" s="33">
        <f>SUM(J369)</f>
        <v>0</v>
      </c>
      <c r="K368" s="33">
        <f>SUM(K369)</f>
        <v>1148425.32</v>
      </c>
      <c r="L368" s="54"/>
      <c r="N368" s="51"/>
    </row>
    <row r="369" spans="1:14" ht="26.25" thickBot="1" x14ac:dyDescent="0.25">
      <c r="A369" s="90" t="s">
        <v>76</v>
      </c>
      <c r="B369" s="96" t="s">
        <v>249</v>
      </c>
      <c r="C369" s="205"/>
      <c r="D369" s="231"/>
      <c r="E369" s="259"/>
      <c r="F369" s="248"/>
      <c r="G369" s="259"/>
      <c r="H369" s="13">
        <f t="shared" si="96"/>
        <v>1148425.32</v>
      </c>
      <c r="I369" s="13"/>
      <c r="J369" s="13"/>
      <c r="K369" s="248">
        <v>1148425.32</v>
      </c>
      <c r="L369" s="54"/>
      <c r="N369" s="51"/>
    </row>
    <row r="370" spans="1:14" ht="42.75" customHeight="1" x14ac:dyDescent="0.2">
      <c r="A370" s="94" t="s">
        <v>158</v>
      </c>
      <c r="B370" s="98" t="s">
        <v>108</v>
      </c>
      <c r="C370" s="289" t="s">
        <v>206</v>
      </c>
      <c r="D370" s="32" t="s">
        <v>138</v>
      </c>
      <c r="E370" s="249" t="s">
        <v>207</v>
      </c>
      <c r="F370" s="276"/>
      <c r="G370" s="249" t="s">
        <v>207</v>
      </c>
      <c r="H370" s="33">
        <f t="shared" si="96"/>
        <v>1000000</v>
      </c>
      <c r="I370" s="33">
        <f>SUM(I371)</f>
        <v>0</v>
      </c>
      <c r="J370" s="33">
        <f>SUM(J371)</f>
        <v>0</v>
      </c>
      <c r="K370" s="33">
        <f>SUM(K371)</f>
        <v>1000000</v>
      </c>
      <c r="L370" s="54"/>
      <c r="N370" s="51"/>
    </row>
    <row r="371" spans="1:14" ht="26.25" thickBot="1" x14ac:dyDescent="0.25">
      <c r="A371" s="90" t="s">
        <v>76</v>
      </c>
      <c r="B371" s="96" t="s">
        <v>249</v>
      </c>
      <c r="C371" s="302"/>
      <c r="D371" s="231"/>
      <c r="E371" s="259"/>
      <c r="F371" s="248"/>
      <c r="G371" s="259"/>
      <c r="H371" s="13">
        <f t="shared" si="96"/>
        <v>1000000</v>
      </c>
      <c r="I371" s="13"/>
      <c r="J371" s="13"/>
      <c r="K371" s="13">
        <v>1000000</v>
      </c>
      <c r="L371" s="54"/>
      <c r="N371" s="51"/>
    </row>
    <row r="372" spans="1:14" ht="59.25" customHeight="1" x14ac:dyDescent="0.2">
      <c r="A372" s="134" t="s">
        <v>247</v>
      </c>
      <c r="B372" s="98" t="s">
        <v>108</v>
      </c>
      <c r="C372" s="289" t="s">
        <v>208</v>
      </c>
      <c r="D372" s="32" t="s">
        <v>138</v>
      </c>
      <c r="E372" s="249" t="s">
        <v>204</v>
      </c>
      <c r="F372" s="276"/>
      <c r="G372" s="249" t="s">
        <v>204</v>
      </c>
      <c r="H372" s="33">
        <f>I372+J372+K372</f>
        <v>1000000</v>
      </c>
      <c r="I372" s="33">
        <f>SUM(I373)</f>
        <v>0</v>
      </c>
      <c r="J372" s="33">
        <f>SUM(J373)</f>
        <v>0</v>
      </c>
      <c r="K372" s="33">
        <f>SUM(K373)</f>
        <v>1000000</v>
      </c>
      <c r="L372" s="54"/>
      <c r="N372" s="51"/>
    </row>
    <row r="373" spans="1:14" ht="26.25" thickBot="1" x14ac:dyDescent="0.25">
      <c r="A373" s="90" t="s">
        <v>76</v>
      </c>
      <c r="B373" s="96" t="s">
        <v>249</v>
      </c>
      <c r="C373" s="205"/>
      <c r="D373" s="231"/>
      <c r="E373" s="259"/>
      <c r="F373" s="248"/>
      <c r="G373" s="259"/>
      <c r="H373" s="13">
        <f>I373+J373+K373</f>
        <v>1000000</v>
      </c>
      <c r="I373" s="13"/>
      <c r="J373" s="13"/>
      <c r="K373" s="13">
        <v>1000000</v>
      </c>
      <c r="L373" s="54"/>
      <c r="N373" s="51"/>
    </row>
    <row r="374" spans="1:14" ht="77.25" thickBot="1" x14ac:dyDescent="0.25">
      <c r="A374" s="31" t="s">
        <v>134</v>
      </c>
      <c r="B374" s="364"/>
      <c r="C374" s="443"/>
      <c r="D374" s="444"/>
      <c r="E374" s="445"/>
      <c r="F374" s="287"/>
      <c r="G374" s="445"/>
      <c r="H374" s="67">
        <f>I374+J374+K374</f>
        <v>42891000</v>
      </c>
      <c r="I374" s="67">
        <f>I375+I379</f>
        <v>10586000</v>
      </c>
      <c r="J374" s="67">
        <f t="shared" ref="J374:K374" si="97">J375+J379</f>
        <v>32305000</v>
      </c>
      <c r="K374" s="67">
        <f t="shared" si="97"/>
        <v>0</v>
      </c>
      <c r="L374" s="54"/>
      <c r="N374" s="51"/>
    </row>
    <row r="375" spans="1:14" ht="38.25" x14ac:dyDescent="0.2">
      <c r="A375" s="236" t="s">
        <v>333</v>
      </c>
      <c r="B375" s="41" t="s">
        <v>100</v>
      </c>
      <c r="C375" s="35" t="s">
        <v>334</v>
      </c>
      <c r="D375" s="339" t="s">
        <v>466</v>
      </c>
      <c r="E375" s="249">
        <v>31823300</v>
      </c>
      <c r="F375" s="81">
        <v>1159696</v>
      </c>
      <c r="G375" s="249">
        <f>E375-F375</f>
        <v>30663604</v>
      </c>
      <c r="H375" s="33">
        <f t="shared" ref="H375:H431" si="98">I375+J375+K375</f>
        <v>31823000</v>
      </c>
      <c r="I375" s="33">
        <f>SUM(I376:I378)</f>
        <v>7147000</v>
      </c>
      <c r="J375" s="33">
        <f>SUM(J376:J378)</f>
        <v>24676000</v>
      </c>
      <c r="K375" s="33">
        <f>SUM(K376:K378)</f>
        <v>0</v>
      </c>
      <c r="L375" s="54"/>
      <c r="N375" s="51"/>
    </row>
    <row r="376" spans="1:14" ht="25.5" x14ac:dyDescent="0.2">
      <c r="A376" s="186" t="s">
        <v>413</v>
      </c>
      <c r="B376" s="192" t="s">
        <v>415</v>
      </c>
      <c r="C376" s="344"/>
      <c r="D376" s="345"/>
      <c r="E376" s="346"/>
      <c r="F376" s="347"/>
      <c r="G376" s="346"/>
      <c r="H376" s="15">
        <f t="shared" si="98"/>
        <v>1523482.5</v>
      </c>
      <c r="I376" s="15">
        <v>347482.5</v>
      </c>
      <c r="J376" s="15">
        <v>1176000</v>
      </c>
      <c r="K376" s="15"/>
      <c r="L376" s="54"/>
      <c r="N376" s="387"/>
    </row>
    <row r="377" spans="1:14" ht="25.5" x14ac:dyDescent="0.2">
      <c r="A377" s="186" t="s">
        <v>517</v>
      </c>
      <c r="B377" s="192" t="s">
        <v>414</v>
      </c>
      <c r="C377" s="113"/>
      <c r="D377" s="373"/>
      <c r="E377" s="374"/>
      <c r="F377" s="106"/>
      <c r="G377" s="374"/>
      <c r="H377" s="8">
        <f t="shared" si="98"/>
        <v>5370517.5</v>
      </c>
      <c r="I377" s="8">
        <v>1200517.5</v>
      </c>
      <c r="J377" s="8">
        <v>4170000</v>
      </c>
      <c r="K377" s="8"/>
      <c r="L377" s="54"/>
      <c r="N377" s="51"/>
    </row>
    <row r="378" spans="1:14" ht="26.25" thickBot="1" x14ac:dyDescent="0.25">
      <c r="A378" s="188" t="s">
        <v>416</v>
      </c>
      <c r="B378" s="314" t="s">
        <v>417</v>
      </c>
      <c r="C378" s="131"/>
      <c r="D378" s="348"/>
      <c r="E378" s="349"/>
      <c r="F378" s="350"/>
      <c r="G378" s="349"/>
      <c r="H378" s="13">
        <f t="shared" si="98"/>
        <v>24929000</v>
      </c>
      <c r="I378" s="13">
        <v>5599000</v>
      </c>
      <c r="J378" s="13">
        <v>19330000</v>
      </c>
      <c r="K378" s="13"/>
      <c r="L378" s="54"/>
      <c r="N378" s="51"/>
    </row>
    <row r="379" spans="1:14" ht="43.5" customHeight="1" x14ac:dyDescent="0.2">
      <c r="A379" s="236" t="s">
        <v>335</v>
      </c>
      <c r="B379" s="242" t="s">
        <v>100</v>
      </c>
      <c r="C379" s="89" t="s">
        <v>336</v>
      </c>
      <c r="D379" s="91" t="s">
        <v>83</v>
      </c>
      <c r="E379" s="249">
        <v>11086180</v>
      </c>
      <c r="F379" s="81">
        <v>1319160</v>
      </c>
      <c r="G379" s="107">
        <f>E379-F379</f>
        <v>9767020</v>
      </c>
      <c r="H379" s="33">
        <f t="shared" si="98"/>
        <v>11068000</v>
      </c>
      <c r="I379" s="33">
        <f>SUM(I380:I382)</f>
        <v>3439000</v>
      </c>
      <c r="J379" s="33">
        <f>SUM(J380:J382)</f>
        <v>7629000</v>
      </c>
      <c r="K379" s="33">
        <f>SUM(K380:K382)</f>
        <v>0</v>
      </c>
      <c r="L379" s="54"/>
      <c r="N379" s="51"/>
    </row>
    <row r="380" spans="1:14" ht="25.5" x14ac:dyDescent="0.2">
      <c r="A380" s="186" t="s">
        <v>413</v>
      </c>
      <c r="B380" s="192" t="s">
        <v>418</v>
      </c>
      <c r="C380" s="113"/>
      <c r="D380" s="373"/>
      <c r="E380" s="374"/>
      <c r="F380" s="106"/>
      <c r="G380" s="374"/>
      <c r="H380" s="8">
        <f t="shared" si="98"/>
        <v>527670.35</v>
      </c>
      <c r="I380" s="8">
        <v>163792.81</v>
      </c>
      <c r="J380" s="8">
        <v>363877.54</v>
      </c>
      <c r="K380" s="8"/>
      <c r="L380" s="54"/>
      <c r="N380" s="51"/>
    </row>
    <row r="381" spans="1:14" ht="25.5" x14ac:dyDescent="0.2">
      <c r="A381" s="186" t="s">
        <v>517</v>
      </c>
      <c r="B381" s="192" t="s">
        <v>419</v>
      </c>
      <c r="C381" s="113"/>
      <c r="D381" s="373"/>
      <c r="E381" s="374"/>
      <c r="F381" s="106"/>
      <c r="G381" s="374"/>
      <c r="H381" s="8">
        <f t="shared" si="98"/>
        <v>1870329.65</v>
      </c>
      <c r="I381" s="8">
        <v>581207.18999999994</v>
      </c>
      <c r="J381" s="8">
        <v>1289122.46</v>
      </c>
      <c r="K381" s="8"/>
      <c r="L381" s="54"/>
      <c r="N381" s="51"/>
    </row>
    <row r="382" spans="1:14" ht="26.25" thickBot="1" x14ac:dyDescent="0.25">
      <c r="A382" s="188" t="s">
        <v>416</v>
      </c>
      <c r="B382" s="314" t="s">
        <v>420</v>
      </c>
      <c r="C382" s="131"/>
      <c r="D382" s="348"/>
      <c r="E382" s="349"/>
      <c r="F382" s="350"/>
      <c r="G382" s="349"/>
      <c r="H382" s="13">
        <f t="shared" si="98"/>
        <v>8670000</v>
      </c>
      <c r="I382" s="13">
        <v>2694000</v>
      </c>
      <c r="J382" s="13">
        <v>5976000</v>
      </c>
      <c r="K382" s="13"/>
      <c r="L382" s="54"/>
      <c r="N382" s="51"/>
    </row>
    <row r="383" spans="1:14" ht="68.25" thickBot="1" x14ac:dyDescent="0.25">
      <c r="A383" s="55" t="s">
        <v>63</v>
      </c>
      <c r="B383" s="48"/>
      <c r="C383" s="111"/>
      <c r="D383" s="111"/>
      <c r="E383" s="287"/>
      <c r="F383" s="287"/>
      <c r="G383" s="287"/>
      <c r="H383" s="56">
        <f t="shared" si="98"/>
        <v>40958664.299999997</v>
      </c>
      <c r="I383" s="56">
        <f>I384+I389+I398+I407+I411+I415+I419</f>
        <v>8958664.3000000007</v>
      </c>
      <c r="J383" s="56">
        <f t="shared" ref="J383:K383" si="99">J384+J389+J398+J407+J411+J415+J419</f>
        <v>32000000</v>
      </c>
      <c r="K383" s="56">
        <f t="shared" si="99"/>
        <v>0</v>
      </c>
      <c r="L383" s="53">
        <f>H384+H389+H398+H407+H411+H415</f>
        <v>40272495.299999997</v>
      </c>
      <c r="N383" s="51"/>
    </row>
    <row r="384" spans="1:14" ht="76.5" x14ac:dyDescent="0.2">
      <c r="A384" s="236" t="s">
        <v>172</v>
      </c>
      <c r="B384" s="98" t="s">
        <v>100</v>
      </c>
      <c r="C384" s="32" t="s">
        <v>125</v>
      </c>
      <c r="D384" s="297" t="s">
        <v>109</v>
      </c>
      <c r="E384" s="249">
        <v>8035070</v>
      </c>
      <c r="F384" s="276">
        <v>4462875.72</v>
      </c>
      <c r="G384" s="249">
        <f>E384-F384</f>
        <v>3572194.2800000003</v>
      </c>
      <c r="H384" s="14">
        <f>I384+J384+K384</f>
        <v>35891.74</v>
      </c>
      <c r="I384" s="14">
        <f>SUM(I385)</f>
        <v>35891.74</v>
      </c>
      <c r="J384" s="14">
        <f t="shared" ref="J384:K384" si="100">SUM(J385)</f>
        <v>0</v>
      </c>
      <c r="K384" s="14">
        <f t="shared" si="100"/>
        <v>0</v>
      </c>
      <c r="L384" s="53"/>
      <c r="N384" s="51"/>
    </row>
    <row r="385" spans="1:15" ht="25.5" x14ac:dyDescent="0.2">
      <c r="A385" s="186" t="s">
        <v>337</v>
      </c>
      <c r="B385" s="192" t="s">
        <v>488</v>
      </c>
      <c r="C385" s="11"/>
      <c r="D385" s="290"/>
      <c r="E385" s="291"/>
      <c r="F385" s="246"/>
      <c r="G385" s="291"/>
      <c r="H385" s="8">
        <f>I385+J385+K385</f>
        <v>35891.74</v>
      </c>
      <c r="I385" s="8">
        <v>35891.74</v>
      </c>
      <c r="J385" s="8"/>
      <c r="K385" s="8"/>
      <c r="L385" s="51"/>
      <c r="N385" s="51"/>
    </row>
    <row r="386" spans="1:15" ht="38.25" x14ac:dyDescent="0.2">
      <c r="A386" s="9" t="s">
        <v>127</v>
      </c>
      <c r="B386" s="268"/>
      <c r="C386" s="118"/>
      <c r="D386" s="118"/>
      <c r="E386" s="246"/>
      <c r="F386" s="246"/>
      <c r="G386" s="246"/>
      <c r="H386" s="109">
        <f>I386+J386+K386</f>
        <v>76.040000000000006</v>
      </c>
      <c r="I386" s="109">
        <v>76.040000000000006</v>
      </c>
      <c r="J386" s="266"/>
      <c r="K386" s="266"/>
      <c r="L386" s="53"/>
      <c r="N386" s="51"/>
    </row>
    <row r="387" spans="1:15" ht="38.25" x14ac:dyDescent="0.2">
      <c r="A387" s="9" t="s">
        <v>173</v>
      </c>
      <c r="B387" s="268"/>
      <c r="C387" s="118"/>
      <c r="D387" s="118"/>
      <c r="E387" s="246"/>
      <c r="F387" s="246"/>
      <c r="G387" s="246"/>
      <c r="H387" s="109">
        <f t="shared" ref="H387:H388" si="101">I387+J387+K387</f>
        <v>75.5</v>
      </c>
      <c r="I387" s="109">
        <v>75.5</v>
      </c>
      <c r="J387" s="141"/>
      <c r="K387" s="141"/>
      <c r="L387" s="53"/>
      <c r="N387" s="51"/>
    </row>
    <row r="388" spans="1:15" ht="39" thickBot="1" x14ac:dyDescent="0.25">
      <c r="A388" s="16" t="s">
        <v>174</v>
      </c>
      <c r="B388" s="269"/>
      <c r="C388" s="117"/>
      <c r="D388" s="117"/>
      <c r="E388" s="248"/>
      <c r="F388" s="248"/>
      <c r="G388" s="248"/>
      <c r="H388" s="92">
        <f t="shared" si="101"/>
        <v>7453.03</v>
      </c>
      <c r="I388" s="92">
        <v>7453.03</v>
      </c>
      <c r="J388" s="267"/>
      <c r="K388" s="267"/>
      <c r="L388" s="53"/>
      <c r="N388" s="51"/>
    </row>
    <row r="389" spans="1:15" ht="66.75" customHeight="1" x14ac:dyDescent="0.2">
      <c r="A389" s="134" t="s">
        <v>175</v>
      </c>
      <c r="B389" s="98" t="s">
        <v>100</v>
      </c>
      <c r="C389" s="32" t="s">
        <v>176</v>
      </c>
      <c r="D389" s="32" t="s">
        <v>109</v>
      </c>
      <c r="E389" s="249">
        <v>8710150</v>
      </c>
      <c r="F389" s="276">
        <v>4750290.03</v>
      </c>
      <c r="G389" s="249">
        <f>E389-F389</f>
        <v>3959859.9699999997</v>
      </c>
      <c r="H389" s="33">
        <f>I389+J389+K389</f>
        <v>3811183.82</v>
      </c>
      <c r="I389" s="33">
        <f>SUM(I390:I394)</f>
        <v>3811183.82</v>
      </c>
      <c r="J389" s="33">
        <f t="shared" ref="J389:K389" si="102">SUM(J390:J394)</f>
        <v>0</v>
      </c>
      <c r="K389" s="33">
        <f t="shared" si="102"/>
        <v>0</v>
      </c>
      <c r="L389" s="53"/>
      <c r="N389" s="391"/>
      <c r="O389" s="391"/>
    </row>
    <row r="390" spans="1:15" ht="25.5" x14ac:dyDescent="0.2">
      <c r="A390" s="186" t="s">
        <v>81</v>
      </c>
      <c r="B390" s="192" t="s">
        <v>447</v>
      </c>
      <c r="C390" s="76"/>
      <c r="D390" s="76"/>
      <c r="E390" s="191"/>
      <c r="F390" s="277"/>
      <c r="G390" s="191"/>
      <c r="H390" s="14">
        <f>I390+J390+K390</f>
        <v>7898.4399999999978</v>
      </c>
      <c r="I390" s="14">
        <f>45907.93+23.36-38025.05-7.8</f>
        <v>7898.4399999999978</v>
      </c>
      <c r="J390" s="386"/>
      <c r="K390" s="14"/>
      <c r="L390" s="51"/>
    </row>
    <row r="391" spans="1:15" ht="38.25" x14ac:dyDescent="0.2">
      <c r="A391" s="186" t="s">
        <v>81</v>
      </c>
      <c r="B391" s="192" t="s">
        <v>493</v>
      </c>
      <c r="C391" s="11"/>
      <c r="D391" s="11"/>
      <c r="E391" s="291"/>
      <c r="F391" s="246"/>
      <c r="G391" s="291"/>
      <c r="H391" s="8">
        <f>I391+J391+K391</f>
        <v>38032.85</v>
      </c>
      <c r="I391" s="8">
        <v>38032.85</v>
      </c>
      <c r="J391" s="385"/>
      <c r="K391" s="8"/>
      <c r="L391" s="51"/>
    </row>
    <row r="392" spans="1:15" ht="25.5" x14ac:dyDescent="0.2">
      <c r="A392" s="186" t="s">
        <v>445</v>
      </c>
      <c r="B392" s="192" t="s">
        <v>446</v>
      </c>
      <c r="C392" s="11"/>
      <c r="D392" s="11"/>
      <c r="E392" s="291"/>
      <c r="F392" s="246"/>
      <c r="G392" s="291"/>
      <c r="H392" s="246">
        <f t="shared" ref="H392:H394" si="103">I392+J392+K392</f>
        <v>0</v>
      </c>
      <c r="I392" s="246">
        <f>819587.6-37652.53-781935.07</f>
        <v>0</v>
      </c>
      <c r="J392" s="385"/>
      <c r="K392" s="8"/>
      <c r="L392" s="51"/>
      <c r="N392" s="390"/>
      <c r="O392" s="390"/>
    </row>
    <row r="393" spans="1:15" ht="38.25" x14ac:dyDescent="0.2">
      <c r="A393" s="186" t="s">
        <v>445</v>
      </c>
      <c r="B393" s="192" t="s">
        <v>494</v>
      </c>
      <c r="C393" s="76"/>
      <c r="D393" s="76"/>
      <c r="E393" s="191"/>
      <c r="F393" s="277"/>
      <c r="G393" s="191"/>
      <c r="H393" s="14">
        <f>I393+J393+K393</f>
        <v>37652.53</v>
      </c>
      <c r="I393" s="14">
        <v>37652.53</v>
      </c>
      <c r="J393" s="386"/>
      <c r="K393" s="14"/>
      <c r="L393" s="51"/>
      <c r="N393" s="390"/>
      <c r="O393" s="390"/>
    </row>
    <row r="394" spans="1:15" ht="38.25" x14ac:dyDescent="0.2">
      <c r="A394" s="186" t="s">
        <v>448</v>
      </c>
      <c r="B394" s="192" t="s">
        <v>495</v>
      </c>
      <c r="C394" s="76"/>
      <c r="D394" s="76"/>
      <c r="E394" s="191"/>
      <c r="F394" s="277"/>
      <c r="G394" s="191"/>
      <c r="H394" s="14">
        <f t="shared" si="103"/>
        <v>3727600</v>
      </c>
      <c r="I394" s="14">
        <f>3727607.8-7.8</f>
        <v>3727600</v>
      </c>
      <c r="J394" s="386"/>
      <c r="K394" s="14"/>
      <c r="L394" s="51"/>
      <c r="N394" s="390"/>
      <c r="O394" s="390"/>
    </row>
    <row r="395" spans="1:15" ht="38.25" x14ac:dyDescent="0.2">
      <c r="A395" s="186" t="s">
        <v>127</v>
      </c>
      <c r="B395" s="377"/>
      <c r="C395" s="118"/>
      <c r="D395" s="118"/>
      <c r="E395" s="246"/>
      <c r="F395" s="246"/>
      <c r="G395" s="246"/>
      <c r="H395" s="109">
        <f>I395+J395+K395</f>
        <v>19674.810000000001</v>
      </c>
      <c r="I395" s="109">
        <v>19674.810000000001</v>
      </c>
      <c r="J395" s="266"/>
      <c r="K395" s="266"/>
      <c r="L395" s="53"/>
      <c r="N395" s="51"/>
    </row>
    <row r="396" spans="1:15" ht="38.25" x14ac:dyDescent="0.2">
      <c r="A396" s="186" t="s">
        <v>173</v>
      </c>
      <c r="B396" s="377"/>
      <c r="C396" s="118"/>
      <c r="D396" s="118"/>
      <c r="E396" s="246"/>
      <c r="F396" s="246"/>
      <c r="G396" s="246"/>
      <c r="H396" s="109">
        <f t="shared" ref="H396:H397" si="104">I396+J396+K396</f>
        <v>19555.48</v>
      </c>
      <c r="I396" s="109">
        <v>19555.48</v>
      </c>
      <c r="J396" s="266"/>
      <c r="K396" s="266"/>
      <c r="L396" s="53"/>
      <c r="N396" s="51"/>
      <c r="O396" s="102"/>
    </row>
    <row r="397" spans="1:15" ht="39" thickBot="1" x14ac:dyDescent="0.25">
      <c r="A397" s="188" t="s">
        <v>174</v>
      </c>
      <c r="B397" s="378"/>
      <c r="C397" s="117"/>
      <c r="D397" s="117"/>
      <c r="E397" s="248"/>
      <c r="F397" s="248"/>
      <c r="G397" s="248"/>
      <c r="H397" s="92">
        <f t="shared" si="104"/>
        <v>1928251.63</v>
      </c>
      <c r="I397" s="92">
        <v>1928251.63</v>
      </c>
      <c r="J397" s="267"/>
      <c r="K397" s="267"/>
      <c r="L397" s="53"/>
      <c r="N397" s="51"/>
    </row>
    <row r="398" spans="1:15" ht="51" x14ac:dyDescent="0.2">
      <c r="A398" s="236" t="s">
        <v>177</v>
      </c>
      <c r="B398" s="242" t="s">
        <v>100</v>
      </c>
      <c r="C398" s="32" t="s">
        <v>176</v>
      </c>
      <c r="D398" s="32" t="s">
        <v>109</v>
      </c>
      <c r="E398" s="249">
        <v>9995010</v>
      </c>
      <c r="F398" s="276">
        <v>7121945.29</v>
      </c>
      <c r="G398" s="249">
        <f>E398-F398</f>
        <v>2873064.71</v>
      </c>
      <c r="H398" s="14">
        <f>I398+J398+K398</f>
        <v>2887019.74</v>
      </c>
      <c r="I398" s="14">
        <f>SUM(I399:I403)</f>
        <v>2887019.74</v>
      </c>
      <c r="J398" s="14">
        <f>SUM(J399:J403)</f>
        <v>0</v>
      </c>
      <c r="K398" s="14">
        <v>0</v>
      </c>
      <c r="L398" s="53"/>
      <c r="N398" s="51"/>
    </row>
    <row r="399" spans="1:15" ht="25.5" x14ac:dyDescent="0.2">
      <c r="A399" s="186" t="s">
        <v>81</v>
      </c>
      <c r="B399" s="192" t="s">
        <v>329</v>
      </c>
      <c r="C399" s="11"/>
      <c r="D399" s="11"/>
      <c r="E399" s="291"/>
      <c r="F399" s="246"/>
      <c r="G399" s="291"/>
      <c r="H399" s="8">
        <f>I399+J399+K399</f>
        <v>4809.1899999999978</v>
      </c>
      <c r="I399" s="8">
        <f>32628.69+26.64-27801.75-44.39</f>
        <v>4809.1899999999978</v>
      </c>
      <c r="J399" s="385"/>
      <c r="K399" s="8"/>
      <c r="L399" s="51"/>
      <c r="O399" s="390"/>
    </row>
    <row r="400" spans="1:15" ht="38.25" x14ac:dyDescent="0.2">
      <c r="A400" s="186" t="s">
        <v>81</v>
      </c>
      <c r="B400" s="192" t="s">
        <v>496</v>
      </c>
      <c r="C400" s="11"/>
      <c r="D400" s="11"/>
      <c r="E400" s="291"/>
      <c r="F400" s="246"/>
      <c r="G400" s="291"/>
      <c r="H400" s="8">
        <f>I400+J400+K400</f>
        <v>27846.14</v>
      </c>
      <c r="I400" s="8">
        <v>27846.14</v>
      </c>
      <c r="J400" s="385"/>
      <c r="K400" s="8"/>
      <c r="L400" s="51"/>
      <c r="O400" s="390"/>
    </row>
    <row r="401" spans="1:15" ht="25.5" x14ac:dyDescent="0.2">
      <c r="A401" s="186" t="s">
        <v>445</v>
      </c>
      <c r="B401" s="192" t="s">
        <v>449</v>
      </c>
      <c r="C401" s="11"/>
      <c r="D401" s="11"/>
      <c r="E401" s="291"/>
      <c r="F401" s="246"/>
      <c r="G401" s="291"/>
      <c r="H401" s="8">
        <f t="shared" ref="H401:H403" si="105">I401+J401+K401</f>
        <v>97596.729999999981</v>
      </c>
      <c r="I401" s="8">
        <f>503632.94-27567.68-378468.53</f>
        <v>97596.729999999981</v>
      </c>
      <c r="J401" s="385"/>
      <c r="K401" s="8"/>
      <c r="L401" s="51"/>
      <c r="N401" s="390"/>
      <c r="O401" s="390"/>
    </row>
    <row r="402" spans="1:15" ht="38.25" x14ac:dyDescent="0.2">
      <c r="A402" s="186" t="s">
        <v>445</v>
      </c>
      <c r="B402" s="192" t="s">
        <v>497</v>
      </c>
      <c r="C402" s="76"/>
      <c r="D402" s="76"/>
      <c r="E402" s="191"/>
      <c r="F402" s="277"/>
      <c r="G402" s="191"/>
      <c r="H402" s="8">
        <f>I402+J402+K402</f>
        <v>27567.68</v>
      </c>
      <c r="I402" s="14">
        <v>27567.68</v>
      </c>
      <c r="J402" s="386"/>
      <c r="K402" s="14"/>
      <c r="L402" s="51"/>
      <c r="N402" s="390"/>
      <c r="O402" s="390"/>
    </row>
    <row r="403" spans="1:15" ht="38.25" x14ac:dyDescent="0.2">
      <c r="A403" s="186" t="s">
        <v>448</v>
      </c>
      <c r="B403" s="192" t="s">
        <v>498</v>
      </c>
      <c r="C403" s="11"/>
      <c r="D403" s="11"/>
      <c r="E403" s="291"/>
      <c r="F403" s="246"/>
      <c r="G403" s="291"/>
      <c r="H403" s="8">
        <f t="shared" si="105"/>
        <v>2729200</v>
      </c>
      <c r="I403" s="8">
        <f>2729244.39-44.39</f>
        <v>2729200</v>
      </c>
      <c r="J403" s="385"/>
      <c r="K403" s="8"/>
      <c r="L403" s="51"/>
      <c r="N403" s="390"/>
      <c r="O403" s="390"/>
    </row>
    <row r="404" spans="1:15" ht="38.25" x14ac:dyDescent="0.2">
      <c r="A404" s="9" t="s">
        <v>127</v>
      </c>
      <c r="B404" s="268"/>
      <c r="C404" s="118"/>
      <c r="D404" s="118"/>
      <c r="E404" s="246"/>
      <c r="F404" s="246"/>
      <c r="G404" s="246"/>
      <c r="H404" s="109">
        <f>I404+J404+K404</f>
        <v>13983.72</v>
      </c>
      <c r="I404" s="109">
        <v>13983.72</v>
      </c>
      <c r="J404" s="266"/>
      <c r="K404" s="266"/>
      <c r="L404" s="53"/>
      <c r="N404" s="51"/>
    </row>
    <row r="405" spans="1:15" ht="38.25" x14ac:dyDescent="0.2">
      <c r="A405" s="9" t="s">
        <v>173</v>
      </c>
      <c r="B405" s="268"/>
      <c r="C405" s="118"/>
      <c r="D405" s="118"/>
      <c r="E405" s="246"/>
      <c r="F405" s="246"/>
      <c r="G405" s="246"/>
      <c r="H405" s="109">
        <f t="shared" ref="H405:H406" si="106">I405+J405+K405</f>
        <v>13905.51</v>
      </c>
      <c r="I405" s="109">
        <v>13905.51</v>
      </c>
      <c r="J405" s="266"/>
      <c r="K405" s="266"/>
      <c r="L405" s="53"/>
      <c r="N405" s="51"/>
    </row>
    <row r="406" spans="1:15" ht="39" thickBot="1" x14ac:dyDescent="0.25">
      <c r="A406" s="16" t="s">
        <v>174</v>
      </c>
      <c r="B406" s="269"/>
      <c r="C406" s="117"/>
      <c r="D406" s="117"/>
      <c r="E406" s="248"/>
      <c r="F406" s="248"/>
      <c r="G406" s="248"/>
      <c r="H406" s="92">
        <f t="shared" si="106"/>
        <v>1370482.9</v>
      </c>
      <c r="I406" s="92">
        <v>1370482.9</v>
      </c>
      <c r="J406" s="267"/>
      <c r="K406" s="267"/>
      <c r="L406" s="53"/>
      <c r="N406" s="51"/>
    </row>
    <row r="407" spans="1:15" ht="83.25" customHeight="1" x14ac:dyDescent="0.2">
      <c r="A407" s="134" t="s">
        <v>248</v>
      </c>
      <c r="B407" s="98" t="s">
        <v>100</v>
      </c>
      <c r="C407" s="32" t="s">
        <v>125</v>
      </c>
      <c r="D407" s="89" t="s">
        <v>152</v>
      </c>
      <c r="E407" s="249">
        <v>10914340</v>
      </c>
      <c r="F407" s="276">
        <v>255600</v>
      </c>
      <c r="G407" s="249">
        <f>E407-F407</f>
        <v>10658740</v>
      </c>
      <c r="H407" s="33">
        <f t="shared" si="98"/>
        <v>10430080</v>
      </c>
      <c r="I407" s="33">
        <f>SUM(I408:I410)</f>
        <v>430080</v>
      </c>
      <c r="J407" s="33">
        <f t="shared" ref="J407:K407" si="107">SUM(J408:J410)</f>
        <v>10000000</v>
      </c>
      <c r="K407" s="33">
        <f t="shared" si="107"/>
        <v>0</v>
      </c>
      <c r="N407" s="52"/>
    </row>
    <row r="408" spans="1:15" ht="25.5" x14ac:dyDescent="0.2">
      <c r="A408" s="186" t="s">
        <v>314</v>
      </c>
      <c r="B408" s="192" t="s">
        <v>306</v>
      </c>
      <c r="C408" s="76"/>
      <c r="D408" s="154"/>
      <c r="E408" s="191"/>
      <c r="F408" s="277"/>
      <c r="G408" s="191"/>
      <c r="H408" s="8">
        <f t="shared" si="98"/>
        <v>430080</v>
      </c>
      <c r="I408" s="14">
        <f>100000+330080</f>
        <v>430080</v>
      </c>
      <c r="J408" s="14"/>
      <c r="K408" s="14"/>
      <c r="L408" s="51"/>
      <c r="N408" s="52"/>
    </row>
    <row r="409" spans="1:15" ht="25.5" x14ac:dyDescent="0.2">
      <c r="A409" s="9" t="s">
        <v>81</v>
      </c>
      <c r="B409" s="5" t="s">
        <v>15</v>
      </c>
      <c r="C409" s="11"/>
      <c r="D409" s="230"/>
      <c r="E409" s="246"/>
      <c r="F409" s="246"/>
      <c r="G409" s="246"/>
      <c r="H409" s="8">
        <f t="shared" si="98"/>
        <v>100000</v>
      </c>
      <c r="I409" s="8"/>
      <c r="J409" s="8">
        <v>100000</v>
      </c>
      <c r="K409" s="8"/>
      <c r="N409" s="52"/>
    </row>
    <row r="410" spans="1:15" ht="26.25" thickBot="1" x14ac:dyDescent="0.25">
      <c r="A410" s="188" t="s">
        <v>82</v>
      </c>
      <c r="B410" s="314" t="s">
        <v>14</v>
      </c>
      <c r="C410" s="12"/>
      <c r="D410" s="231"/>
      <c r="E410" s="248"/>
      <c r="F410" s="248"/>
      <c r="G410" s="248"/>
      <c r="H410" s="13">
        <f t="shared" si="98"/>
        <v>9900000</v>
      </c>
      <c r="I410" s="13"/>
      <c r="J410" s="13">
        <f>99000+9801000</f>
        <v>9900000</v>
      </c>
      <c r="K410" s="13"/>
      <c r="N410" s="52"/>
    </row>
    <row r="411" spans="1:15" ht="71.25" customHeight="1" x14ac:dyDescent="0.2">
      <c r="A411" s="134" t="s">
        <v>467</v>
      </c>
      <c r="B411" s="98" t="s">
        <v>100</v>
      </c>
      <c r="C411" s="32" t="s">
        <v>125</v>
      </c>
      <c r="D411" s="89" t="s">
        <v>152</v>
      </c>
      <c r="E411" s="249">
        <f>F411+G411</f>
        <v>10295600</v>
      </c>
      <c r="F411" s="276">
        <v>295600</v>
      </c>
      <c r="G411" s="249">
        <v>10000000</v>
      </c>
      <c r="H411" s="33">
        <f t="shared" si="98"/>
        <v>10534440</v>
      </c>
      <c r="I411" s="33">
        <f>SUM(I412:I414)</f>
        <v>534440</v>
      </c>
      <c r="J411" s="33">
        <f>SUM(J413:J414)</f>
        <v>10000000</v>
      </c>
      <c r="K411" s="33">
        <f>SUM(K413:K414)</f>
        <v>0</v>
      </c>
      <c r="N411" s="52"/>
    </row>
    <row r="412" spans="1:15" ht="25.5" x14ac:dyDescent="0.2">
      <c r="A412" s="186" t="s">
        <v>314</v>
      </c>
      <c r="B412" s="192" t="s">
        <v>307</v>
      </c>
      <c r="C412" s="76"/>
      <c r="D412" s="154"/>
      <c r="E412" s="191"/>
      <c r="F412" s="277"/>
      <c r="G412" s="191"/>
      <c r="H412" s="8">
        <f t="shared" si="98"/>
        <v>534440</v>
      </c>
      <c r="I412" s="14">
        <f>100000+434440</f>
        <v>534440</v>
      </c>
      <c r="J412" s="14"/>
      <c r="K412" s="14"/>
      <c r="L412" s="51"/>
      <c r="N412" s="52"/>
    </row>
    <row r="413" spans="1:15" ht="25.5" x14ac:dyDescent="0.2">
      <c r="A413" s="9" t="s">
        <v>81</v>
      </c>
      <c r="B413" s="5" t="s">
        <v>17</v>
      </c>
      <c r="C413" s="11"/>
      <c r="D413" s="230"/>
      <c r="E413" s="246"/>
      <c r="F413" s="246"/>
      <c r="G413" s="246"/>
      <c r="H413" s="8">
        <f t="shared" si="98"/>
        <v>100000</v>
      </c>
      <c r="I413" s="8"/>
      <c r="J413" s="8">
        <v>100000</v>
      </c>
      <c r="K413" s="8"/>
      <c r="N413" s="52"/>
    </row>
    <row r="414" spans="1:15" ht="26.25" thickBot="1" x14ac:dyDescent="0.25">
      <c r="A414" s="188" t="s">
        <v>82</v>
      </c>
      <c r="B414" s="314" t="s">
        <v>16</v>
      </c>
      <c r="C414" s="12"/>
      <c r="D414" s="231"/>
      <c r="E414" s="248"/>
      <c r="F414" s="248"/>
      <c r="G414" s="248"/>
      <c r="H414" s="13">
        <f t="shared" si="98"/>
        <v>9900000</v>
      </c>
      <c r="I414" s="13"/>
      <c r="J414" s="13">
        <f>99000+9801000</f>
        <v>9900000</v>
      </c>
      <c r="K414" s="13"/>
      <c r="N414" s="52"/>
    </row>
    <row r="415" spans="1:15" ht="82.5" customHeight="1" x14ac:dyDescent="0.2">
      <c r="A415" s="94" t="s">
        <v>468</v>
      </c>
      <c r="B415" s="98" t="s">
        <v>100</v>
      </c>
      <c r="C415" s="32" t="s">
        <v>125</v>
      </c>
      <c r="D415" s="89" t="s">
        <v>152</v>
      </c>
      <c r="E415" s="249">
        <f>F415+G415</f>
        <v>12250600</v>
      </c>
      <c r="F415" s="276">
        <v>250600</v>
      </c>
      <c r="G415" s="249">
        <v>12000000</v>
      </c>
      <c r="H415" s="33">
        <f t="shared" si="98"/>
        <v>12573880</v>
      </c>
      <c r="I415" s="33">
        <f>SUM(I416:I418)</f>
        <v>573880</v>
      </c>
      <c r="J415" s="33">
        <f>SUM(J417:J418)</f>
        <v>12000000</v>
      </c>
      <c r="K415" s="33">
        <f>SUM(K417:K418)</f>
        <v>0</v>
      </c>
      <c r="N415" s="52"/>
    </row>
    <row r="416" spans="1:15" ht="25.5" x14ac:dyDescent="0.2">
      <c r="A416" s="186" t="s">
        <v>314</v>
      </c>
      <c r="B416" s="192" t="s">
        <v>315</v>
      </c>
      <c r="C416" s="76"/>
      <c r="D416" s="154"/>
      <c r="E416" s="191"/>
      <c r="F416" s="277"/>
      <c r="G416" s="191"/>
      <c r="H416" s="8">
        <f t="shared" si="98"/>
        <v>573880</v>
      </c>
      <c r="I416" s="14">
        <f>100000+473880</f>
        <v>573880</v>
      </c>
      <c r="J416" s="14"/>
      <c r="K416" s="14"/>
      <c r="L416" s="51"/>
      <c r="N416" s="52"/>
    </row>
    <row r="417" spans="1:14" ht="25.5" x14ac:dyDescent="0.2">
      <c r="A417" s="9" t="s">
        <v>81</v>
      </c>
      <c r="B417" s="5" t="s">
        <v>12</v>
      </c>
      <c r="C417" s="11"/>
      <c r="D417" s="230"/>
      <c r="E417" s="246"/>
      <c r="F417" s="246"/>
      <c r="G417" s="246"/>
      <c r="H417" s="8">
        <f t="shared" si="98"/>
        <v>120000</v>
      </c>
      <c r="I417" s="8"/>
      <c r="J417" s="8">
        <v>120000</v>
      </c>
      <c r="K417" s="8"/>
      <c r="N417" s="52"/>
    </row>
    <row r="418" spans="1:14" ht="25.5" x14ac:dyDescent="0.2">
      <c r="A418" s="186" t="s">
        <v>82</v>
      </c>
      <c r="B418" s="192" t="s">
        <v>13</v>
      </c>
      <c r="C418" s="11"/>
      <c r="D418" s="230"/>
      <c r="E418" s="246"/>
      <c r="F418" s="246"/>
      <c r="G418" s="246"/>
      <c r="H418" s="8">
        <f t="shared" si="98"/>
        <v>11880000</v>
      </c>
      <c r="I418" s="8"/>
      <c r="J418" s="8">
        <f>118800+11761200</f>
        <v>11880000</v>
      </c>
      <c r="K418" s="8"/>
      <c r="N418" s="52"/>
    </row>
    <row r="419" spans="1:14" ht="82.5" customHeight="1" x14ac:dyDescent="0.2">
      <c r="A419" s="283" t="s">
        <v>603</v>
      </c>
      <c r="B419" s="192" t="s">
        <v>604</v>
      </c>
      <c r="C419" s="11"/>
      <c r="D419" s="230"/>
      <c r="E419" s="246"/>
      <c r="F419" s="246"/>
      <c r="G419" s="246"/>
      <c r="H419" s="8">
        <f t="shared" si="98"/>
        <v>686169</v>
      </c>
      <c r="I419" s="8">
        <f>SUM(I420)</f>
        <v>686169</v>
      </c>
      <c r="J419" s="8">
        <f t="shared" ref="J419:K419" si="108">SUM(J420)</f>
        <v>0</v>
      </c>
      <c r="K419" s="8">
        <f t="shared" si="108"/>
        <v>0</v>
      </c>
      <c r="N419" s="52"/>
    </row>
    <row r="420" spans="1:14" ht="26.25" thickBot="1" x14ac:dyDescent="0.25">
      <c r="A420" s="186" t="s">
        <v>314</v>
      </c>
      <c r="B420" s="192" t="s">
        <v>605</v>
      </c>
      <c r="C420" s="12"/>
      <c r="D420" s="231"/>
      <c r="E420" s="248"/>
      <c r="F420" s="248"/>
      <c r="G420" s="248"/>
      <c r="H420" s="8">
        <f t="shared" si="98"/>
        <v>686169</v>
      </c>
      <c r="I420" s="13">
        <v>686169</v>
      </c>
      <c r="J420" s="13"/>
      <c r="K420" s="13"/>
      <c r="L420" s="189"/>
      <c r="N420" s="52"/>
    </row>
    <row r="421" spans="1:14" ht="44.25" customHeight="1" thickBot="1" x14ac:dyDescent="0.25">
      <c r="A421" s="10" t="s">
        <v>102</v>
      </c>
      <c r="B421" s="82"/>
      <c r="C421" s="43"/>
      <c r="D421" s="43"/>
      <c r="E421" s="287"/>
      <c r="F421" s="287"/>
      <c r="G421" s="287"/>
      <c r="H421" s="67">
        <f t="shared" si="98"/>
        <v>5343664416.8500004</v>
      </c>
      <c r="I421" s="67">
        <f>I422</f>
        <v>2510679630.6500001</v>
      </c>
      <c r="J421" s="67">
        <f>J422</f>
        <v>2163547426.8099999</v>
      </c>
      <c r="K421" s="67">
        <f>K422</f>
        <v>669437359.38999999</v>
      </c>
      <c r="L421" s="53">
        <f>H431+H423</f>
        <v>5343664416.8500013</v>
      </c>
    </row>
    <row r="422" spans="1:14" ht="54" customHeight="1" thickBot="1" x14ac:dyDescent="0.25">
      <c r="A422" s="101" t="s">
        <v>130</v>
      </c>
      <c r="B422" s="82"/>
      <c r="C422" s="43"/>
      <c r="D422" s="43"/>
      <c r="E422" s="287"/>
      <c r="F422" s="287"/>
      <c r="G422" s="287"/>
      <c r="H422" s="56">
        <f>I422+J422+K422</f>
        <v>5343664416.8500004</v>
      </c>
      <c r="I422" s="67">
        <f>I431+I423</f>
        <v>2510679630.6500001</v>
      </c>
      <c r="J422" s="67">
        <f>J431+J423</f>
        <v>2163547426.8099999</v>
      </c>
      <c r="K422" s="67">
        <f>K431+K423</f>
        <v>669437359.38999999</v>
      </c>
      <c r="L422" s="53"/>
    </row>
    <row r="423" spans="1:14" ht="50.25" customHeight="1" thickBot="1" x14ac:dyDescent="0.25">
      <c r="A423" s="10" t="s">
        <v>3</v>
      </c>
      <c r="B423" s="82"/>
      <c r="C423" s="43"/>
      <c r="D423" s="43"/>
      <c r="E423" s="287"/>
      <c r="F423" s="287"/>
      <c r="G423" s="287"/>
      <c r="H423" s="67">
        <f>I423+J423+K423</f>
        <v>343434343.43000001</v>
      </c>
      <c r="I423" s="67">
        <f>I424</f>
        <v>343434343.43000001</v>
      </c>
      <c r="J423" s="67">
        <f>J424</f>
        <v>0</v>
      </c>
      <c r="K423" s="67">
        <f>K424</f>
        <v>0</v>
      </c>
      <c r="L423" s="53"/>
    </row>
    <row r="424" spans="1:14" ht="42" customHeight="1" x14ac:dyDescent="0.2">
      <c r="A424" s="94" t="s">
        <v>64</v>
      </c>
      <c r="B424" s="34" t="s">
        <v>100</v>
      </c>
      <c r="C424" s="32" t="s">
        <v>7</v>
      </c>
      <c r="D424" s="32" t="s">
        <v>109</v>
      </c>
      <c r="E424" s="249">
        <v>424959140</v>
      </c>
      <c r="F424" s="276">
        <v>81331395.569999993</v>
      </c>
      <c r="G424" s="249">
        <f>E424-F424</f>
        <v>343627744.43000001</v>
      </c>
      <c r="H424" s="33">
        <f t="shared" si="98"/>
        <v>343434343.43000001</v>
      </c>
      <c r="I424" s="33">
        <f>SUM(I425:I428)</f>
        <v>343434343.43000001</v>
      </c>
      <c r="J424" s="33">
        <f>SUM(J425:J426)</f>
        <v>0</v>
      </c>
      <c r="K424" s="33">
        <f>SUM(K425:K426)</f>
        <v>0</v>
      </c>
      <c r="L424" s="53"/>
    </row>
    <row r="425" spans="1:14" ht="30" customHeight="1" x14ac:dyDescent="0.2">
      <c r="A425" s="186" t="s">
        <v>512</v>
      </c>
      <c r="B425" s="5" t="s">
        <v>566</v>
      </c>
      <c r="C425" s="11"/>
      <c r="D425" s="11"/>
      <c r="E425" s="246"/>
      <c r="F425" s="246"/>
      <c r="G425" s="246"/>
      <c r="H425" s="8">
        <f t="shared" si="98"/>
        <v>0</v>
      </c>
      <c r="I425" s="8">
        <f>3130329.33+304014.1-2826248.12-608095.31</f>
        <v>0</v>
      </c>
      <c r="J425" s="8"/>
      <c r="K425" s="8"/>
      <c r="L425" s="52"/>
      <c r="M425" s="52"/>
      <c r="N425" s="52"/>
    </row>
    <row r="426" spans="1:14" ht="29.25" customHeight="1" x14ac:dyDescent="0.2">
      <c r="A426" s="186" t="s">
        <v>558</v>
      </c>
      <c r="B426" s="192" t="s">
        <v>567</v>
      </c>
      <c r="C426" s="11"/>
      <c r="D426" s="11"/>
      <c r="E426" s="246"/>
      <c r="F426" s="246"/>
      <c r="G426" s="246"/>
      <c r="H426" s="8">
        <f t="shared" si="98"/>
        <v>3434343.43</v>
      </c>
      <c r="I426" s="246">
        <f>2826248.12+608095.31</f>
        <v>3434343.43</v>
      </c>
      <c r="J426" s="8"/>
      <c r="K426" s="8"/>
      <c r="L426" s="52"/>
      <c r="M426" s="52"/>
      <c r="N426" s="52"/>
    </row>
    <row r="427" spans="1:14" ht="29.25" customHeight="1" x14ac:dyDescent="0.2">
      <c r="A427" s="186" t="s">
        <v>557</v>
      </c>
      <c r="B427" s="192" t="s">
        <v>568</v>
      </c>
      <c r="C427" s="11"/>
      <c r="D427" s="11"/>
      <c r="E427" s="246"/>
      <c r="F427" s="246"/>
      <c r="G427" s="246"/>
      <c r="H427" s="8">
        <f t="shared" si="98"/>
        <v>340000000</v>
      </c>
      <c r="I427" s="246">
        <f>279798566.87+60201433.13</f>
        <v>340000000</v>
      </c>
      <c r="J427" s="8"/>
      <c r="K427" s="8"/>
      <c r="L427" s="52"/>
      <c r="M427" s="52"/>
      <c r="N427" s="52"/>
    </row>
    <row r="428" spans="1:14" ht="27.75" customHeight="1" x14ac:dyDescent="0.2">
      <c r="A428" s="336" t="s">
        <v>69</v>
      </c>
      <c r="B428" s="362" t="s">
        <v>568</v>
      </c>
      <c r="C428" s="11"/>
      <c r="D428" s="11"/>
      <c r="E428" s="246"/>
      <c r="F428" s="246"/>
      <c r="G428" s="246"/>
      <c r="H428" s="8">
        <f t="shared" si="98"/>
        <v>0</v>
      </c>
      <c r="I428" s="8">
        <f>340000000-309902605.4+309902605.4-279798566.87-60201433.13</f>
        <v>0</v>
      </c>
      <c r="J428" s="8"/>
      <c r="K428" s="8"/>
      <c r="L428" s="52"/>
      <c r="M428" s="52"/>
      <c r="N428" s="52"/>
    </row>
    <row r="429" spans="1:14" ht="38.25" x14ac:dyDescent="0.2">
      <c r="A429" s="9" t="s">
        <v>170</v>
      </c>
      <c r="B429" s="5"/>
      <c r="C429" s="11"/>
      <c r="D429" s="11"/>
      <c r="E429" s="246"/>
      <c r="F429" s="246"/>
      <c r="G429" s="246"/>
      <c r="H429" s="109">
        <f t="shared" si="98"/>
        <v>795021.92</v>
      </c>
      <c r="I429" s="109">
        <v>795021.92</v>
      </c>
      <c r="J429" s="8"/>
      <c r="K429" s="8"/>
      <c r="L429" s="52"/>
      <c r="M429" s="52"/>
      <c r="N429" s="52"/>
    </row>
    <row r="430" spans="1:14" ht="39" thickBot="1" x14ac:dyDescent="0.25">
      <c r="A430" s="16" t="s">
        <v>171</v>
      </c>
      <c r="B430" s="6"/>
      <c r="C430" s="12"/>
      <c r="D430" s="12"/>
      <c r="E430" s="248"/>
      <c r="F430" s="248"/>
      <c r="G430" s="248"/>
      <c r="H430" s="92">
        <f>I430+J430+K430</f>
        <v>78707170.209999993</v>
      </c>
      <c r="I430" s="92">
        <v>78707170.209999993</v>
      </c>
      <c r="J430" s="13"/>
      <c r="K430" s="13"/>
      <c r="L430" s="52"/>
      <c r="M430" s="52"/>
      <c r="N430" s="52"/>
    </row>
    <row r="431" spans="1:14" ht="23.25" customHeight="1" thickBot="1" x14ac:dyDescent="0.25">
      <c r="A431" s="155" t="s">
        <v>116</v>
      </c>
      <c r="B431" s="85"/>
      <c r="C431" s="86"/>
      <c r="D431" s="86"/>
      <c r="E431" s="294"/>
      <c r="F431" s="294"/>
      <c r="G431" s="294"/>
      <c r="H431" s="68">
        <f t="shared" si="98"/>
        <v>5000230073.420001</v>
      </c>
      <c r="I431" s="68">
        <f>I451+I432+I438+I445+I455</f>
        <v>2167245287.2200003</v>
      </c>
      <c r="J431" s="68">
        <f t="shared" ref="J431:K431" si="109">J451+J432+J438+J445+J455</f>
        <v>2163547426.8099999</v>
      </c>
      <c r="K431" s="68">
        <f t="shared" si="109"/>
        <v>669437359.38999999</v>
      </c>
      <c r="L431" s="3">
        <f>H451+H432+H438+H445+H455</f>
        <v>5000230073.4200001</v>
      </c>
      <c r="M431" s="52"/>
    </row>
    <row r="432" spans="1:14" ht="42.75" customHeight="1" x14ac:dyDescent="0.2">
      <c r="A432" s="134" t="s">
        <v>128</v>
      </c>
      <c r="B432" s="34" t="s">
        <v>100</v>
      </c>
      <c r="C432" s="32" t="s">
        <v>110</v>
      </c>
      <c r="D432" s="32" t="s">
        <v>83</v>
      </c>
      <c r="E432" s="249">
        <v>1131692490</v>
      </c>
      <c r="F432" s="276">
        <v>1381230</v>
      </c>
      <c r="G432" s="249">
        <f>E432-F432</f>
        <v>1130311260</v>
      </c>
      <c r="H432" s="33">
        <f>I432+J432+K432</f>
        <v>1450000000.0099998</v>
      </c>
      <c r="I432" s="33">
        <f>SUM(I433:I437)</f>
        <v>779765533.33999991</v>
      </c>
      <c r="J432" s="33">
        <f>SUM(J433:J437)</f>
        <v>670234466.66999996</v>
      </c>
      <c r="K432" s="33">
        <f t="shared" ref="K432" si="110">SUM(K433:K437)</f>
        <v>0</v>
      </c>
      <c r="L432" s="52"/>
      <c r="M432" s="52"/>
    </row>
    <row r="433" spans="1:14" ht="43.5" customHeight="1" x14ac:dyDescent="0.2">
      <c r="A433" s="186" t="s">
        <v>159</v>
      </c>
      <c r="B433" s="192" t="s">
        <v>219</v>
      </c>
      <c r="C433" s="11"/>
      <c r="D433" s="11"/>
      <c r="E433" s="291"/>
      <c r="F433" s="246"/>
      <c r="G433" s="291"/>
      <c r="H433" s="8">
        <f>I433+J433+K433</f>
        <v>10850423.439999999</v>
      </c>
      <c r="I433" s="8">
        <v>4148078.77</v>
      </c>
      <c r="J433" s="8">
        <v>6702344.6699999999</v>
      </c>
      <c r="K433" s="8"/>
      <c r="L433" s="52"/>
      <c r="M433" s="52"/>
      <c r="N433" s="52"/>
    </row>
    <row r="434" spans="1:14" ht="25.5" x14ac:dyDescent="0.2">
      <c r="A434" s="186" t="s">
        <v>159</v>
      </c>
      <c r="B434" s="192" t="s">
        <v>452</v>
      </c>
      <c r="C434" s="11"/>
      <c r="D434" s="11"/>
      <c r="E434" s="291"/>
      <c r="F434" s="246"/>
      <c r="G434" s="291"/>
      <c r="H434" s="8">
        <f>I434+J434+K434</f>
        <v>3649576.5700000003</v>
      </c>
      <c r="I434" s="8">
        <f>2242624.46+1406952.11</f>
        <v>3649576.5700000003</v>
      </c>
      <c r="J434" s="8"/>
      <c r="K434" s="8"/>
      <c r="L434" s="52"/>
      <c r="M434" s="52"/>
      <c r="N434" s="52"/>
    </row>
    <row r="435" spans="1:14" ht="25.5" x14ac:dyDescent="0.2">
      <c r="A435" s="186" t="s">
        <v>132</v>
      </c>
      <c r="B435" s="192" t="s">
        <v>451</v>
      </c>
      <c r="C435" s="11"/>
      <c r="D435" s="11"/>
      <c r="E435" s="291"/>
      <c r="F435" s="246"/>
      <c r="G435" s="291"/>
      <c r="H435" s="8">
        <f>I435+J435+K435</f>
        <v>361308080</v>
      </c>
      <c r="I435" s="8">
        <v>361308080</v>
      </c>
      <c r="J435" s="8"/>
      <c r="K435" s="8"/>
      <c r="L435" s="52"/>
      <c r="M435" s="52"/>
      <c r="N435" s="52"/>
    </row>
    <row r="436" spans="1:14" ht="38.25" x14ac:dyDescent="0.2">
      <c r="A436" s="186" t="s">
        <v>132</v>
      </c>
      <c r="B436" s="192" t="s">
        <v>218</v>
      </c>
      <c r="C436" s="11"/>
      <c r="D436" s="11"/>
      <c r="E436" s="246"/>
      <c r="F436" s="246"/>
      <c r="G436" s="246"/>
      <c r="H436" s="8">
        <f t="shared" ref="H436:H444" si="111">I436+J436+K436</f>
        <v>10741920</v>
      </c>
      <c r="I436" s="8">
        <v>4106598</v>
      </c>
      <c r="J436" s="8">
        <v>6635322</v>
      </c>
      <c r="K436" s="8"/>
      <c r="L436" s="52"/>
      <c r="M436" s="52"/>
      <c r="N436" s="52"/>
    </row>
    <row r="437" spans="1:14" ht="39" thickBot="1" x14ac:dyDescent="0.25">
      <c r="A437" s="188" t="s">
        <v>184</v>
      </c>
      <c r="B437" s="314" t="s">
        <v>217</v>
      </c>
      <c r="C437" s="12"/>
      <c r="D437" s="12"/>
      <c r="E437" s="248"/>
      <c r="F437" s="248"/>
      <c r="G437" s="248"/>
      <c r="H437" s="13">
        <f t="shared" si="111"/>
        <v>1063450000</v>
      </c>
      <c r="I437" s="13">
        <v>406553200</v>
      </c>
      <c r="J437" s="13">
        <v>656896800</v>
      </c>
      <c r="K437" s="13"/>
      <c r="L437" s="52"/>
      <c r="M437" s="54"/>
      <c r="N437" s="52"/>
    </row>
    <row r="438" spans="1:14" ht="33" customHeight="1" x14ac:dyDescent="0.2">
      <c r="A438" s="134" t="s">
        <v>2</v>
      </c>
      <c r="B438" s="34" t="s">
        <v>100</v>
      </c>
      <c r="C438" s="32" t="s">
        <v>110</v>
      </c>
      <c r="D438" s="32" t="s">
        <v>83</v>
      </c>
      <c r="E438" s="276">
        <v>1494427180</v>
      </c>
      <c r="F438" s="276">
        <v>2999864.73</v>
      </c>
      <c r="G438" s="276">
        <f>E438-F438</f>
        <v>1491427315.27</v>
      </c>
      <c r="H438" s="33">
        <f t="shared" si="111"/>
        <v>1450799700</v>
      </c>
      <c r="I438" s="33">
        <f>SUM(I439:I444)</f>
        <v>877821728.80000007</v>
      </c>
      <c r="J438" s="33">
        <f>SUM(J439:J444)</f>
        <v>572977971.20000005</v>
      </c>
      <c r="K438" s="33">
        <f>SUM(K439:K444)</f>
        <v>0</v>
      </c>
      <c r="L438" s="52"/>
      <c r="M438" s="52"/>
    </row>
    <row r="439" spans="1:14" ht="33" customHeight="1" x14ac:dyDescent="0.2">
      <c r="A439" s="9" t="s">
        <v>65</v>
      </c>
      <c r="B439" s="95" t="s">
        <v>249</v>
      </c>
      <c r="C439" s="11"/>
      <c r="D439" s="11"/>
      <c r="E439" s="246"/>
      <c r="F439" s="246"/>
      <c r="G439" s="246"/>
      <c r="H439" s="8">
        <f t="shared" si="111"/>
        <v>799700</v>
      </c>
      <c r="I439" s="8">
        <f>800000-300</f>
        <v>799700</v>
      </c>
      <c r="J439" s="8"/>
      <c r="K439" s="8"/>
      <c r="L439" s="52" t="s">
        <v>644</v>
      </c>
    </row>
    <row r="440" spans="1:14" ht="38.25" x14ac:dyDescent="0.2">
      <c r="A440" s="186" t="s">
        <v>123</v>
      </c>
      <c r="B440" s="5" t="s">
        <v>220</v>
      </c>
      <c r="C440" s="11"/>
      <c r="D440" s="11"/>
      <c r="E440" s="246"/>
      <c r="F440" s="246"/>
      <c r="G440" s="246"/>
      <c r="H440" s="8">
        <f t="shared" si="111"/>
        <v>9391885.879999999</v>
      </c>
      <c r="I440" s="8">
        <v>3662106.17</v>
      </c>
      <c r="J440" s="8">
        <v>5729779.71</v>
      </c>
      <c r="K440" s="8"/>
      <c r="L440" s="52"/>
      <c r="M440" s="52"/>
      <c r="N440" s="52"/>
    </row>
    <row r="441" spans="1:14" ht="25.5" x14ac:dyDescent="0.2">
      <c r="A441" s="186" t="s">
        <v>123</v>
      </c>
      <c r="B441" s="192" t="s">
        <v>454</v>
      </c>
      <c r="C441" s="11"/>
      <c r="D441" s="11"/>
      <c r="E441" s="246"/>
      <c r="F441" s="246"/>
      <c r="G441" s="246"/>
      <c r="H441" s="8">
        <f t="shared" si="111"/>
        <v>5108114.12</v>
      </c>
      <c r="I441" s="8">
        <f>4608111.12+500003</f>
        <v>5108114.12</v>
      </c>
      <c r="J441" s="8"/>
      <c r="K441" s="8"/>
      <c r="L441" s="52"/>
      <c r="M441" s="52"/>
      <c r="N441" s="52"/>
    </row>
    <row r="442" spans="1:14" ht="25.5" x14ac:dyDescent="0.2">
      <c r="A442" s="186" t="s">
        <v>459</v>
      </c>
      <c r="B442" s="192" t="s">
        <v>453</v>
      </c>
      <c r="C442" s="11"/>
      <c r="D442" s="11"/>
      <c r="E442" s="246"/>
      <c r="F442" s="246"/>
      <c r="G442" s="246"/>
      <c r="H442" s="8">
        <f t="shared" si="111"/>
        <v>505703297.87</v>
      </c>
      <c r="I442" s="8">
        <v>505703297.87</v>
      </c>
      <c r="J442" s="8"/>
      <c r="K442" s="8"/>
      <c r="L442" s="52"/>
      <c r="M442" s="52"/>
      <c r="N442" s="52"/>
    </row>
    <row r="443" spans="1:14" ht="38.25" x14ac:dyDescent="0.2">
      <c r="A443" s="186" t="s">
        <v>120</v>
      </c>
      <c r="B443" s="5" t="s">
        <v>221</v>
      </c>
      <c r="C443" s="11"/>
      <c r="D443" s="11"/>
      <c r="E443" s="246"/>
      <c r="F443" s="246"/>
      <c r="G443" s="246"/>
      <c r="H443" s="8">
        <f t="shared" si="111"/>
        <v>55787802.130000003</v>
      </c>
      <c r="I443" s="8">
        <v>21752910.640000001</v>
      </c>
      <c r="J443" s="8">
        <v>34034891.490000002</v>
      </c>
      <c r="K443" s="8"/>
      <c r="L443" s="52"/>
      <c r="M443" s="54"/>
      <c r="N443" s="52"/>
    </row>
    <row r="444" spans="1:14" ht="39" thickBot="1" x14ac:dyDescent="0.25">
      <c r="A444" s="188" t="s">
        <v>121</v>
      </c>
      <c r="B444" s="6" t="s">
        <v>222</v>
      </c>
      <c r="C444" s="12"/>
      <c r="D444" s="12"/>
      <c r="E444" s="248"/>
      <c r="F444" s="248"/>
      <c r="G444" s="248"/>
      <c r="H444" s="13">
        <f t="shared" si="111"/>
        <v>874008900</v>
      </c>
      <c r="I444" s="13">
        <v>340795600</v>
      </c>
      <c r="J444" s="13">
        <v>533213300</v>
      </c>
      <c r="K444" s="13"/>
      <c r="L444" s="52"/>
      <c r="M444" s="189"/>
      <c r="N444" s="189"/>
    </row>
    <row r="445" spans="1:14" ht="51" x14ac:dyDescent="0.2">
      <c r="A445" s="236" t="s">
        <v>547</v>
      </c>
      <c r="B445" s="242" t="s">
        <v>100</v>
      </c>
      <c r="C445" s="32" t="s">
        <v>110</v>
      </c>
      <c r="D445" s="297" t="s">
        <v>138</v>
      </c>
      <c r="E445" s="276">
        <v>1756465656.5599999</v>
      </c>
      <c r="F445" s="276"/>
      <c r="G445" s="276">
        <f>E445-F445</f>
        <v>1756465656.5599999</v>
      </c>
      <c r="H445" s="33">
        <f>I445+J445+K445</f>
        <v>1742616990.71</v>
      </c>
      <c r="I445" s="33">
        <f>SUM(I446:I450)</f>
        <v>303753303.02999997</v>
      </c>
      <c r="J445" s="33">
        <f>SUM(J446:J450)</f>
        <v>769426328.28999996</v>
      </c>
      <c r="K445" s="33">
        <f>SUM(K446:K450)</f>
        <v>669437359.38999999</v>
      </c>
      <c r="L445" s="52"/>
      <c r="M445" s="189"/>
      <c r="N445" s="189"/>
    </row>
    <row r="446" spans="1:14" ht="25.5" x14ac:dyDescent="0.2">
      <c r="A446" s="9" t="s">
        <v>65</v>
      </c>
      <c r="B446" s="95" t="s">
        <v>249</v>
      </c>
      <c r="C446" s="301"/>
      <c r="D446" s="301"/>
      <c r="E446" s="277"/>
      <c r="F446" s="277"/>
      <c r="G446" s="277"/>
      <c r="H446" s="8">
        <f>SUM(I446:K446)</f>
        <v>723000</v>
      </c>
      <c r="I446" s="8">
        <f>723666.67-666.67</f>
        <v>723000</v>
      </c>
      <c r="J446" s="8"/>
      <c r="K446" s="8"/>
      <c r="L446" s="52" t="s">
        <v>645</v>
      </c>
      <c r="M446" s="189"/>
      <c r="N446" s="189"/>
    </row>
    <row r="447" spans="1:14" ht="25.5" x14ac:dyDescent="0.2">
      <c r="A447" s="187" t="s">
        <v>513</v>
      </c>
      <c r="B447" s="311" t="s">
        <v>139</v>
      </c>
      <c r="C447" s="11"/>
      <c r="D447" s="11"/>
      <c r="E447" s="246"/>
      <c r="F447" s="246"/>
      <c r="G447" s="246"/>
      <c r="H447" s="14">
        <f t="shared" ref="H447:H450" si="112">I447+J447+K447</f>
        <v>3601151.52</v>
      </c>
      <c r="I447" s="14"/>
      <c r="J447" s="14">
        <v>1800575.76</v>
      </c>
      <c r="K447" s="14">
        <f>1800575.76</f>
        <v>1800575.76</v>
      </c>
      <c r="L447" s="52"/>
      <c r="M447" s="52"/>
      <c r="N447" s="189"/>
    </row>
    <row r="448" spans="1:14" ht="25.5" x14ac:dyDescent="0.2">
      <c r="A448" s="186" t="s">
        <v>513</v>
      </c>
      <c r="B448" s="192" t="s">
        <v>230</v>
      </c>
      <c r="C448" s="290"/>
      <c r="D448" s="290"/>
      <c r="E448" s="246"/>
      <c r="F448" s="246"/>
      <c r="G448" s="246"/>
      <c r="H448" s="246">
        <f t="shared" si="112"/>
        <v>16993808.089999996</v>
      </c>
      <c r="I448" s="246">
        <v>3030303.03</v>
      </c>
      <c r="J448" s="246">
        <f>6981752.52+0.01</f>
        <v>6981752.5299999993</v>
      </c>
      <c r="K448" s="246">
        <f>6981752.52+0.01</f>
        <v>6981752.5299999993</v>
      </c>
      <c r="L448" s="52" t="s">
        <v>649</v>
      </c>
      <c r="M448" s="189"/>
      <c r="N448" s="189"/>
    </row>
    <row r="449" spans="1:14" ht="25.5" x14ac:dyDescent="0.2">
      <c r="A449" s="186" t="s">
        <v>140</v>
      </c>
      <c r="B449" s="192" t="s">
        <v>141</v>
      </c>
      <c r="C449" s="11"/>
      <c r="D449" s="11"/>
      <c r="E449" s="246"/>
      <c r="F449" s="246"/>
      <c r="G449" s="246"/>
      <c r="H449" s="8">
        <f t="shared" si="112"/>
        <v>338912031.10000002</v>
      </c>
      <c r="I449" s="8"/>
      <c r="J449" s="8">
        <v>178257000</v>
      </c>
      <c r="K449" s="8">
        <f>178257000-17601968.9</f>
        <v>160655031.09999999</v>
      </c>
      <c r="L449" s="52"/>
      <c r="M449" s="189"/>
      <c r="N449" s="189" t="s">
        <v>643</v>
      </c>
    </row>
    <row r="450" spans="1:14" ht="26.25" thickBot="1" x14ac:dyDescent="0.25">
      <c r="A450" s="188" t="s">
        <v>516</v>
      </c>
      <c r="B450" s="314" t="s">
        <v>229</v>
      </c>
      <c r="C450" s="12"/>
      <c r="D450" s="12"/>
      <c r="E450" s="248"/>
      <c r="F450" s="248"/>
      <c r="G450" s="248"/>
      <c r="H450" s="13">
        <f t="shared" si="112"/>
        <v>1382387000</v>
      </c>
      <c r="I450" s="13">
        <v>300000000</v>
      </c>
      <c r="J450" s="13">
        <f>691193500-108806500</f>
        <v>582387000</v>
      </c>
      <c r="K450" s="13">
        <f>691193500-191193500</f>
        <v>500000000</v>
      </c>
      <c r="L450" s="52" t="s">
        <v>640</v>
      </c>
      <c r="M450" s="189" t="s">
        <v>641</v>
      </c>
      <c r="N450" s="189" t="s">
        <v>642</v>
      </c>
    </row>
    <row r="451" spans="1:14" ht="66" customHeight="1" x14ac:dyDescent="0.2">
      <c r="A451" s="236" t="s">
        <v>366</v>
      </c>
      <c r="B451" s="34" t="s">
        <v>367</v>
      </c>
      <c r="C451" s="32" t="s">
        <v>368</v>
      </c>
      <c r="D451" s="35" t="s">
        <v>369</v>
      </c>
      <c r="E451" s="276">
        <v>396942758.31999999</v>
      </c>
      <c r="F451" s="276"/>
      <c r="G451" s="276">
        <f>E451-F451</f>
        <v>396942758.31999999</v>
      </c>
      <c r="H451" s="33">
        <f t="shared" ref="H451:H456" si="113">SUM(I451:K451)</f>
        <v>317676155.38999999</v>
      </c>
      <c r="I451" s="33">
        <f>SUM(I452:I454)</f>
        <v>166767494.74000001</v>
      </c>
      <c r="J451" s="33">
        <f>SUM(J452:J454)</f>
        <v>150908660.65000001</v>
      </c>
      <c r="K451" s="33">
        <f t="shared" ref="K451" si="114">SUM(K452:K454)</f>
        <v>0</v>
      </c>
      <c r="L451" s="52"/>
      <c r="M451" s="189"/>
      <c r="N451" s="189"/>
    </row>
    <row r="452" spans="1:14" ht="25.5" x14ac:dyDescent="0.2">
      <c r="A452" s="9" t="s">
        <v>65</v>
      </c>
      <c r="B452" s="95" t="s">
        <v>249</v>
      </c>
      <c r="C452" s="11"/>
      <c r="D452" s="11"/>
      <c r="E452" s="246"/>
      <c r="F452" s="246"/>
      <c r="G452" s="246"/>
      <c r="H452" s="8">
        <f t="shared" si="113"/>
        <v>3609600</v>
      </c>
      <c r="I452" s="8">
        <f>5200000-1200000-330080-8160-23000-21000-8160</f>
        <v>3609600</v>
      </c>
      <c r="J452" s="8"/>
      <c r="K452" s="8"/>
      <c r="L452" s="52"/>
      <c r="M452" s="189"/>
      <c r="N452" s="189"/>
    </row>
    <row r="453" spans="1:14" ht="25.5" x14ac:dyDescent="0.2">
      <c r="A453" s="186" t="s">
        <v>346</v>
      </c>
      <c r="B453" s="192" t="s">
        <v>457</v>
      </c>
      <c r="C453" s="11"/>
      <c r="D453" s="11"/>
      <c r="E453" s="246"/>
      <c r="F453" s="246"/>
      <c r="G453" s="246"/>
      <c r="H453" s="8">
        <f t="shared" si="113"/>
        <v>15703327.770000001</v>
      </c>
      <c r="I453" s="246">
        <f>1578947.37+6578947.37</f>
        <v>8157894.7400000002</v>
      </c>
      <c r="J453" s="246">
        <f>12004582.13-6578947.37+2119798.27</f>
        <v>7545433.0300000012</v>
      </c>
      <c r="K453" s="8"/>
      <c r="L453" s="189"/>
      <c r="M453" s="189"/>
    </row>
    <row r="454" spans="1:14" ht="26.25" thickBot="1" x14ac:dyDescent="0.25">
      <c r="A454" s="312" t="s">
        <v>455</v>
      </c>
      <c r="B454" s="313" t="s">
        <v>456</v>
      </c>
      <c r="C454" s="12"/>
      <c r="D454" s="12"/>
      <c r="E454" s="248"/>
      <c r="F454" s="248"/>
      <c r="G454" s="248"/>
      <c r="H454" s="15">
        <f t="shared" si="113"/>
        <v>298363227.62</v>
      </c>
      <c r="I454" s="248">
        <v>155000000</v>
      </c>
      <c r="J454" s="248">
        <f>103087060.5+40276167.12</f>
        <v>143363227.62</v>
      </c>
      <c r="K454" s="13"/>
      <c r="L454" s="189"/>
      <c r="M454" s="189"/>
    </row>
    <row r="455" spans="1:14" ht="25.5" x14ac:dyDescent="0.2">
      <c r="A455" s="288" t="s">
        <v>365</v>
      </c>
      <c r="B455" s="242" t="s">
        <v>504</v>
      </c>
      <c r="C455" s="32"/>
      <c r="D455" s="32" t="s">
        <v>109</v>
      </c>
      <c r="E455" s="107">
        <v>39387025.600000001</v>
      </c>
      <c r="F455" s="81"/>
      <c r="G455" s="107">
        <f>E455-F455</f>
        <v>39387025.600000001</v>
      </c>
      <c r="H455" s="33">
        <f t="shared" si="113"/>
        <v>39137227.310000002</v>
      </c>
      <c r="I455" s="33">
        <f>SUM(I456)</f>
        <v>39137227.310000002</v>
      </c>
      <c r="J455" s="33">
        <f t="shared" ref="J455:K455" si="115">SUM(J456)</f>
        <v>0</v>
      </c>
      <c r="K455" s="33">
        <f t="shared" si="115"/>
        <v>0</v>
      </c>
      <c r="L455" s="52"/>
      <c r="M455" s="189"/>
      <c r="N455" s="189"/>
    </row>
    <row r="456" spans="1:14" ht="25.5" x14ac:dyDescent="0.2">
      <c r="A456" s="186" t="s">
        <v>65</v>
      </c>
      <c r="B456" s="192" t="s">
        <v>330</v>
      </c>
      <c r="C456" s="11"/>
      <c r="D456" s="11"/>
      <c r="E456" s="246"/>
      <c r="F456" s="246"/>
      <c r="G456" s="246"/>
      <c r="H456" s="8">
        <f t="shared" si="113"/>
        <v>39137227.310000002</v>
      </c>
      <c r="I456" s="8">
        <f>39387025.6-249798.29</f>
        <v>39137227.310000002</v>
      </c>
      <c r="J456" s="8"/>
      <c r="K456" s="8"/>
      <c r="L456" s="52" t="s">
        <v>646</v>
      </c>
      <c r="M456" s="189"/>
      <c r="N456" s="189"/>
    </row>
    <row r="457" spans="1:14" ht="39" thickBot="1" x14ac:dyDescent="0.25">
      <c r="A457" s="9" t="s">
        <v>170</v>
      </c>
      <c r="B457" s="351"/>
      <c r="C457" s="340"/>
      <c r="D457" s="340"/>
      <c r="E457" s="295"/>
      <c r="F457" s="295"/>
      <c r="G457" s="295"/>
      <c r="H457" s="109">
        <f t="shared" ref="H457" si="116">I457+J457+K457</f>
        <v>211210</v>
      </c>
      <c r="I457" s="109">
        <v>211210</v>
      </c>
      <c r="J457" s="26"/>
      <c r="K457" s="26"/>
      <c r="L457" s="52"/>
      <c r="M457" s="189"/>
      <c r="N457" s="189"/>
    </row>
    <row r="458" spans="1:14" ht="51.75" thickBot="1" x14ac:dyDescent="0.25">
      <c r="A458" s="10" t="s">
        <v>343</v>
      </c>
      <c r="B458" s="351"/>
      <c r="C458" s="340"/>
      <c r="D458" s="340"/>
      <c r="E458" s="295"/>
      <c r="F458" s="295"/>
      <c r="G458" s="295"/>
      <c r="H458" s="356">
        <f>I458+J458+K458</f>
        <v>136770592</v>
      </c>
      <c r="I458" s="356">
        <f>I459</f>
        <v>19684518</v>
      </c>
      <c r="J458" s="356">
        <f t="shared" ref="J458:K459" si="117">J459</f>
        <v>117086074</v>
      </c>
      <c r="K458" s="356">
        <f t="shared" si="117"/>
        <v>0</v>
      </c>
      <c r="L458" s="52"/>
      <c r="M458" s="189"/>
      <c r="N458" s="189"/>
    </row>
    <row r="459" spans="1:14" ht="27.75" thickBot="1" x14ac:dyDescent="0.25">
      <c r="A459" s="55" t="s">
        <v>344</v>
      </c>
      <c r="B459" s="352"/>
      <c r="C459" s="111"/>
      <c r="D459" s="111"/>
      <c r="E459" s="287"/>
      <c r="F459" s="287"/>
      <c r="G459" s="287"/>
      <c r="H459" s="56">
        <f>I459+J459+K459</f>
        <v>136770592</v>
      </c>
      <c r="I459" s="56">
        <f>I460</f>
        <v>19684518</v>
      </c>
      <c r="J459" s="56">
        <f t="shared" si="117"/>
        <v>117086074</v>
      </c>
      <c r="K459" s="56">
        <f t="shared" si="117"/>
        <v>0</v>
      </c>
      <c r="L459" s="52"/>
      <c r="M459" s="189"/>
      <c r="N459" s="189"/>
    </row>
    <row r="460" spans="1:14" ht="63.75" x14ac:dyDescent="0.2">
      <c r="A460" s="94" t="s">
        <v>562</v>
      </c>
      <c r="B460" s="34" t="s">
        <v>119</v>
      </c>
      <c r="C460" s="35" t="s">
        <v>549</v>
      </c>
      <c r="D460" s="32" t="s">
        <v>83</v>
      </c>
      <c r="E460" s="249">
        <v>138102102</v>
      </c>
      <c r="F460" s="276">
        <v>1766510</v>
      </c>
      <c r="G460" s="249">
        <f>E460-F460</f>
        <v>136335592</v>
      </c>
      <c r="H460" s="33">
        <f>SUM(I460:K460)</f>
        <v>136770592</v>
      </c>
      <c r="I460" s="33">
        <f>SUM(I461:I464)</f>
        <v>19684518</v>
      </c>
      <c r="J460" s="33">
        <f>SUM(J462:J464)</f>
        <v>117086074</v>
      </c>
      <c r="K460" s="33">
        <f>SUM(K462:K464)</f>
        <v>0</v>
      </c>
      <c r="L460" s="52"/>
      <c r="M460" s="189"/>
      <c r="N460" s="189"/>
    </row>
    <row r="461" spans="1:14" ht="25.5" x14ac:dyDescent="0.2">
      <c r="A461" s="186" t="s">
        <v>624</v>
      </c>
      <c r="B461" s="95" t="s">
        <v>249</v>
      </c>
      <c r="C461" s="427"/>
      <c r="D461" s="76"/>
      <c r="E461" s="191"/>
      <c r="F461" s="277"/>
      <c r="G461" s="191"/>
      <c r="H461" s="8">
        <f t="shared" ref="H461:H464" si="118">SUM(I461:K461)</f>
        <v>435000</v>
      </c>
      <c r="I461" s="8">
        <v>435000</v>
      </c>
      <c r="J461" s="8"/>
      <c r="K461" s="8"/>
      <c r="L461" s="52"/>
      <c r="M461" s="189"/>
      <c r="N461" s="189"/>
    </row>
    <row r="462" spans="1:14" ht="38.25" x14ac:dyDescent="0.2">
      <c r="A462" s="186" t="s">
        <v>345</v>
      </c>
      <c r="B462" s="192" t="s">
        <v>555</v>
      </c>
      <c r="C462" s="11"/>
      <c r="D462" s="11"/>
      <c r="E462" s="8"/>
      <c r="F462" s="8"/>
      <c r="G462" s="8"/>
      <c r="H462" s="8">
        <f t="shared" si="118"/>
        <v>1363357</v>
      </c>
      <c r="I462" s="8">
        <v>192496</v>
      </c>
      <c r="J462" s="8">
        <v>1170861</v>
      </c>
      <c r="K462" s="8"/>
      <c r="L462" s="52"/>
      <c r="M462" s="189"/>
      <c r="N462" s="189"/>
    </row>
    <row r="463" spans="1:14" ht="38.25" x14ac:dyDescent="0.2">
      <c r="A463" s="186" t="s">
        <v>461</v>
      </c>
      <c r="B463" s="192" t="s">
        <v>548</v>
      </c>
      <c r="C463" s="11"/>
      <c r="D463" s="11"/>
      <c r="E463" s="8"/>
      <c r="F463" s="8"/>
      <c r="G463" s="8"/>
      <c r="H463" s="8">
        <f t="shared" si="118"/>
        <v>8098335</v>
      </c>
      <c r="I463" s="8">
        <v>1143422</v>
      </c>
      <c r="J463" s="8">
        <v>6954913</v>
      </c>
      <c r="K463" s="8"/>
      <c r="L463" s="52"/>
      <c r="M463" s="189"/>
      <c r="N463" s="189"/>
    </row>
    <row r="464" spans="1:14" ht="39" thickBot="1" x14ac:dyDescent="0.25">
      <c r="A464" s="188" t="s">
        <v>462</v>
      </c>
      <c r="B464" s="314" t="s">
        <v>556</v>
      </c>
      <c r="C464" s="12"/>
      <c r="D464" s="12"/>
      <c r="E464" s="13"/>
      <c r="F464" s="13"/>
      <c r="G464" s="13"/>
      <c r="H464" s="13">
        <f t="shared" si="118"/>
        <v>126873900</v>
      </c>
      <c r="I464" s="13">
        <v>17913600</v>
      </c>
      <c r="J464" s="13">
        <v>108960300</v>
      </c>
      <c r="K464" s="13"/>
      <c r="L464" s="52"/>
      <c r="M464" s="189"/>
      <c r="N464" s="189"/>
    </row>
    <row r="465" spans="1:17" ht="42" customHeight="1" thickBot="1" x14ac:dyDescent="0.25">
      <c r="A465" s="10" t="s">
        <v>131</v>
      </c>
      <c r="B465" s="110"/>
      <c r="C465" s="111"/>
      <c r="D465" s="111"/>
      <c r="E465" s="60"/>
      <c r="F465" s="60"/>
      <c r="G465" s="60"/>
      <c r="H465" s="67">
        <f>I465+J465+K465</f>
        <v>395036053.76999998</v>
      </c>
      <c r="I465" s="67">
        <f t="shared" ref="I465:K465" si="119">I466</f>
        <v>77551523.069999993</v>
      </c>
      <c r="J465" s="67">
        <f t="shared" si="119"/>
        <v>49554971.509999998</v>
      </c>
      <c r="K465" s="67">
        <f t="shared" si="119"/>
        <v>267929559.19</v>
      </c>
      <c r="L465" s="53">
        <f>H467+H471</f>
        <v>395036053.76999998</v>
      </c>
      <c r="M465" s="52"/>
    </row>
    <row r="466" spans="1:17" ht="19.5" customHeight="1" thickBot="1" x14ac:dyDescent="0.25">
      <c r="A466" s="101" t="s">
        <v>66</v>
      </c>
      <c r="B466" s="110"/>
      <c r="C466" s="111"/>
      <c r="D466" s="111"/>
      <c r="E466" s="60"/>
      <c r="F466" s="60"/>
      <c r="G466" s="60"/>
      <c r="H466" s="56">
        <f>I466+J466+K466</f>
        <v>395036053.76999998</v>
      </c>
      <c r="I466" s="56">
        <f>I467+I471</f>
        <v>77551523.069999993</v>
      </c>
      <c r="J466" s="56">
        <f t="shared" ref="J466:K466" si="120">J467+J471</f>
        <v>49554971.509999998</v>
      </c>
      <c r="K466" s="56">
        <f t="shared" si="120"/>
        <v>267929559.19</v>
      </c>
      <c r="L466" s="53"/>
      <c r="M466" s="52"/>
    </row>
    <row r="467" spans="1:17" ht="42" customHeight="1" x14ac:dyDescent="0.2">
      <c r="A467" s="236" t="s">
        <v>52</v>
      </c>
      <c r="B467" s="238" t="s">
        <v>100</v>
      </c>
      <c r="C467" s="32" t="s">
        <v>4</v>
      </c>
      <c r="D467" s="32" t="s">
        <v>138</v>
      </c>
      <c r="E467" s="40">
        <v>494389398.38</v>
      </c>
      <c r="F467" s="276">
        <v>271020</v>
      </c>
      <c r="G467" s="249">
        <f>E467-F467</f>
        <v>494118378.38</v>
      </c>
      <c r="H467" s="33">
        <f>I467+J467+K467</f>
        <v>379096765.94999999</v>
      </c>
      <c r="I467" s="33">
        <f>SUM(I468:I470)</f>
        <v>61612235.25</v>
      </c>
      <c r="J467" s="33">
        <f t="shared" ref="J467:K467" si="121">SUM(J468:J470)</f>
        <v>49554971.509999998</v>
      </c>
      <c r="K467" s="33">
        <f t="shared" si="121"/>
        <v>267929559.19</v>
      </c>
      <c r="L467" s="53"/>
      <c r="M467" s="52"/>
    </row>
    <row r="468" spans="1:17" ht="25.5" x14ac:dyDescent="0.2">
      <c r="A468" s="186" t="s">
        <v>313</v>
      </c>
      <c r="B468" s="192" t="s">
        <v>307</v>
      </c>
      <c r="C468" s="11"/>
      <c r="D468" s="11"/>
      <c r="E468" s="27"/>
      <c r="F468" s="246"/>
      <c r="G468" s="291"/>
      <c r="H468" s="8">
        <f>I468+J468+K468</f>
        <v>1006174.64</v>
      </c>
      <c r="I468" s="8">
        <f>150000+80000+780440-4265.36</f>
        <v>1006174.64</v>
      </c>
      <c r="J468" s="8"/>
      <c r="K468" s="8"/>
      <c r="L468" s="51" t="s">
        <v>647</v>
      </c>
      <c r="M468" s="52"/>
    </row>
    <row r="469" spans="1:17" ht="25.5" x14ac:dyDescent="0.2">
      <c r="A469" s="9" t="s">
        <v>5</v>
      </c>
      <c r="B469" s="5" t="s">
        <v>11</v>
      </c>
      <c r="C469" s="11"/>
      <c r="D469" s="11"/>
      <c r="E469" s="8"/>
      <c r="F469" s="202"/>
      <c r="G469" s="202"/>
      <c r="H469" s="8">
        <f>I469+J469+K469</f>
        <v>3780905.92</v>
      </c>
      <c r="I469" s="8">
        <v>606060.61</v>
      </c>
      <c r="J469" s="8">
        <f>606060.61-202020.2+91509.31</f>
        <v>495549.72</v>
      </c>
      <c r="K469" s="8">
        <f>1212121.21+202020.2+1265154.18</f>
        <v>2679295.59</v>
      </c>
      <c r="L469" s="52"/>
      <c r="M469" s="52"/>
      <c r="N469" s="52"/>
    </row>
    <row r="470" spans="1:17" ht="26.25" thickBot="1" x14ac:dyDescent="0.25">
      <c r="A470" s="16" t="s">
        <v>6</v>
      </c>
      <c r="B470" s="6" t="s">
        <v>10</v>
      </c>
      <c r="C470" s="12"/>
      <c r="D470" s="12"/>
      <c r="E470" s="13"/>
      <c r="F470" s="206"/>
      <c r="G470" s="206"/>
      <c r="H470" s="13">
        <f t="shared" ref="H470:H475" si="122">I470+J470+K470</f>
        <v>374309685.38999999</v>
      </c>
      <c r="I470" s="13">
        <v>60000000</v>
      </c>
      <c r="J470" s="13">
        <f>60000000-20000000+9059421.79</f>
        <v>49059421.789999999</v>
      </c>
      <c r="K470" s="13">
        <f>120000000+20000000+125250263.6</f>
        <v>265250263.59999999</v>
      </c>
      <c r="L470" s="52"/>
      <c r="M470" s="52"/>
      <c r="N470" s="52"/>
    </row>
    <row r="471" spans="1:17" ht="36" x14ac:dyDescent="0.2">
      <c r="A471" s="342" t="s">
        <v>316</v>
      </c>
      <c r="B471" s="238" t="s">
        <v>100</v>
      </c>
      <c r="C471" s="91" t="s">
        <v>317</v>
      </c>
      <c r="D471" s="91" t="s">
        <v>109</v>
      </c>
      <c r="E471" s="81">
        <v>297881595.73000002</v>
      </c>
      <c r="F471" s="81">
        <v>291017676.54000002</v>
      </c>
      <c r="G471" s="81">
        <f>E471-F471</f>
        <v>6863919.1899999976</v>
      </c>
      <c r="H471" s="14">
        <f t="shared" si="122"/>
        <v>15939287.819999998</v>
      </c>
      <c r="I471" s="33">
        <f>SUM(I472:I475)</f>
        <v>15939287.819999998</v>
      </c>
      <c r="J471" s="33">
        <f t="shared" ref="J471:K471" si="123">SUM(J473:J474)</f>
        <v>0</v>
      </c>
      <c r="K471" s="33">
        <f t="shared" si="123"/>
        <v>0</v>
      </c>
      <c r="L471" s="52"/>
      <c r="M471" s="52"/>
    </row>
    <row r="472" spans="1:17" ht="25.5" x14ac:dyDescent="0.2">
      <c r="A472" s="186" t="s">
        <v>370</v>
      </c>
      <c r="B472" s="192" t="s">
        <v>620</v>
      </c>
      <c r="C472" s="324"/>
      <c r="D472" s="324"/>
      <c r="E472" s="97"/>
      <c r="F472" s="97"/>
      <c r="G472" s="97"/>
      <c r="H472" s="8">
        <f t="shared" si="122"/>
        <v>90000</v>
      </c>
      <c r="I472" s="14">
        <v>90000</v>
      </c>
      <c r="J472" s="14"/>
      <c r="K472" s="14"/>
      <c r="L472" s="52"/>
      <c r="M472" s="52"/>
    </row>
    <row r="473" spans="1:17" ht="25.5" x14ac:dyDescent="0.2">
      <c r="A473" s="186" t="s">
        <v>370</v>
      </c>
      <c r="B473" s="192" t="s">
        <v>318</v>
      </c>
      <c r="C473" s="120"/>
      <c r="D473" s="120"/>
      <c r="E473" s="87"/>
      <c r="F473" s="87"/>
      <c r="G473" s="8"/>
      <c r="H473" s="8">
        <f t="shared" si="122"/>
        <v>14376417.66</v>
      </c>
      <c r="I473" s="246">
        <f>4557546.4+589142.02+8509846.38+2585155.19-90000-1775272.33</f>
        <v>14376417.66</v>
      </c>
      <c r="J473" s="8"/>
      <c r="K473" s="8"/>
      <c r="L473" s="52" t="s">
        <v>648</v>
      </c>
      <c r="M473" s="52"/>
    </row>
    <row r="474" spans="1:17" ht="25.5" x14ac:dyDescent="0.2">
      <c r="A474" s="186" t="s">
        <v>331</v>
      </c>
      <c r="B474" s="192" t="s">
        <v>332</v>
      </c>
      <c r="C474" s="120"/>
      <c r="D474" s="120"/>
      <c r="E474" s="87"/>
      <c r="F474" s="87"/>
      <c r="G474" s="8"/>
      <c r="H474" s="8">
        <f t="shared" si="122"/>
        <v>235070.85999999996</v>
      </c>
      <c r="I474" s="8">
        <f>85861.54+0.38+365958.42-386672.63-0.38+169923.53</f>
        <v>235070.85999999996</v>
      </c>
      <c r="J474" s="8"/>
      <c r="K474" s="8"/>
      <c r="L474" s="52" t="s">
        <v>650</v>
      </c>
      <c r="M474" s="52"/>
    </row>
    <row r="475" spans="1:17" ht="26.25" thickBot="1" x14ac:dyDescent="0.25">
      <c r="A475" s="188" t="s">
        <v>408</v>
      </c>
      <c r="B475" s="314" t="s">
        <v>409</v>
      </c>
      <c r="C475" s="178"/>
      <c r="D475" s="178"/>
      <c r="E475" s="88"/>
      <c r="F475" s="88"/>
      <c r="G475" s="13"/>
      <c r="H475" s="13">
        <f t="shared" si="122"/>
        <v>1237799.2999999989</v>
      </c>
      <c r="I475" s="13">
        <f>1631368.85+5927209.93-6320779.48</f>
        <v>1237799.2999999989</v>
      </c>
      <c r="J475" s="13"/>
      <c r="K475" s="13"/>
      <c r="L475" s="52" t="s">
        <v>637</v>
      </c>
      <c r="M475" s="52"/>
      <c r="O475">
        <v>2023</v>
      </c>
      <c r="P475">
        <v>2024</v>
      </c>
      <c r="Q475">
        <v>2025</v>
      </c>
    </row>
    <row r="476" spans="1:17" ht="24.75" customHeight="1" thickBot="1" x14ac:dyDescent="0.25">
      <c r="A476" s="500" t="s">
        <v>122</v>
      </c>
      <c r="B476" s="501"/>
      <c r="C476" s="61"/>
      <c r="D476" s="61"/>
      <c r="E476" s="62"/>
      <c r="F476" s="62"/>
      <c r="G476" s="62"/>
      <c r="H476" s="59">
        <f>H309+H421+H465+H458</f>
        <v>6057129192.9200001</v>
      </c>
      <c r="I476" s="59">
        <f>SUM(I477:I543)</f>
        <v>2708906900.1399999</v>
      </c>
      <c r="J476" s="59">
        <f>SUM(J477:J543)</f>
        <v>2403872103.0599999</v>
      </c>
      <c r="K476" s="59">
        <f>SUM(K477:K543)</f>
        <v>944350189.72000003</v>
      </c>
      <c r="L476" s="3">
        <f>I476+J476+K476</f>
        <v>6057129192.9200001</v>
      </c>
      <c r="M476" s="77">
        <f>SUM(H477:H543)</f>
        <v>6057129192.9200001</v>
      </c>
      <c r="N476" s="388" t="s">
        <v>469</v>
      </c>
      <c r="O476" s="102">
        <f>I477+I478+I480+I482+I484+I486+I488+I491+I494+I496+I497+I502+I507+I509+I511+I515+I516+I519+I522+I524+I526+I528+I529+I530+I534+I537++I539+I540+I542+I499+I504+I513+I533+I495</f>
        <v>113573729.43000001</v>
      </c>
      <c r="P476" s="102">
        <f t="shared" ref="P476:Q476" si="124">J477+J478+J480+J482+J484+J486+J488+J491+J494+J496+J497+J502+J507+J509+J511+J515+J516+J519+J522+J524+J526+J528+J529+J530+J534+J537++J539+J540+J542+J499+J504+J513+J533+J495</f>
        <v>41664804.700000003</v>
      </c>
      <c r="Q476" s="102">
        <f t="shared" si="124"/>
        <v>18444895.02</v>
      </c>
    </row>
    <row r="477" spans="1:17" ht="25.5" x14ac:dyDescent="0.2">
      <c r="A477" s="310" t="s">
        <v>76</v>
      </c>
      <c r="B477" s="98" t="s">
        <v>249</v>
      </c>
      <c r="C477" s="91"/>
      <c r="D477" s="91"/>
      <c r="E477" s="81"/>
      <c r="F477" s="81"/>
      <c r="G477" s="81"/>
      <c r="H477" s="33">
        <f t="shared" ref="H477:H543" si="125">I477+J477+K477</f>
        <v>31456548.880000003</v>
      </c>
      <c r="I477" s="81">
        <f>I345+I347+I349+I351+I353+I355+I357+I359+I361+I363+I365+I367+I369+I371+I373+I320+I322+I324+I326+I328+I330+I332+I343</f>
        <v>15094647</v>
      </c>
      <c r="J477" s="81">
        <f>J345+J347+J349+J351+J353+J355+J357+J359+J361+J363+J365+J367+J369+J371+J373+J320+J322+J324+J326+J328+J330+J332+J343</f>
        <v>9378630.7400000002</v>
      </c>
      <c r="K477" s="81">
        <f>K345+K347+K349+K351+K353+K355+K357+K359+K361+K363+K365+K367+K369+K371+K373+K320+K322+K324+K326+K328+K330+K332+K343</f>
        <v>6983271.1400000006</v>
      </c>
      <c r="L477" s="127"/>
      <c r="M477" s="77"/>
      <c r="N477" s="388" t="s">
        <v>470</v>
      </c>
      <c r="O477" s="102">
        <f>I479+I481+I483+I485+I487+I489+I492+I498+I503+I508+I510+I512+I517+I520+I523+I525+I527+I531+I532+I535+I541+I543+I500+I505+I514</f>
        <v>1815230970.71</v>
      </c>
      <c r="P477" s="102">
        <f>J479+J481+J483+J485+J487+J489+J492+J498+J503+J508+J510+J512+J517+J520+J523+J525+J527+J531+J532+J535+J541+J543+J500+J505+J514</f>
        <v>1037830898.3599999</v>
      </c>
      <c r="Q477" s="102">
        <f>K479+K481+K483+K485+K487+K489+K492+K498+K503+K508+K510+K512+K517+K520+K523+K525+K527+K531+K532+K535+K541+K543+K500+K505+K514</f>
        <v>925905294.70000005</v>
      </c>
    </row>
    <row r="478" spans="1:17" ht="25.5" x14ac:dyDescent="0.2">
      <c r="A478" s="9" t="s">
        <v>77</v>
      </c>
      <c r="B478" s="5" t="s">
        <v>22</v>
      </c>
      <c r="C478" s="120"/>
      <c r="D478" s="120"/>
      <c r="E478" s="87"/>
      <c r="F478" s="87"/>
      <c r="G478" s="87"/>
      <c r="H478" s="8">
        <f t="shared" si="125"/>
        <v>914683.81</v>
      </c>
      <c r="I478" s="87">
        <f t="shared" ref="I478:K479" si="126">I312</f>
        <v>914683.81</v>
      </c>
      <c r="J478" s="87">
        <f t="shared" si="126"/>
        <v>0</v>
      </c>
      <c r="K478" s="87">
        <f t="shared" si="126"/>
        <v>0</v>
      </c>
      <c r="L478" s="127"/>
      <c r="M478" s="77"/>
      <c r="N478" s="388" t="s">
        <v>471</v>
      </c>
      <c r="O478" s="102">
        <f>I490+I493+I501+I506+I518+I521+I536</f>
        <v>780012200</v>
      </c>
      <c r="P478" s="102">
        <f>J490+J493+J501+J506+J518+J521+J536</f>
        <v>1324376400</v>
      </c>
      <c r="Q478" s="102">
        <f>K490+K493+K501+K506+K518+K521+K536</f>
        <v>0</v>
      </c>
    </row>
    <row r="479" spans="1:17" ht="25.5" x14ac:dyDescent="0.2">
      <c r="A479" s="9" t="s">
        <v>78</v>
      </c>
      <c r="B479" s="5" t="s">
        <v>22</v>
      </c>
      <c r="C479" s="123"/>
      <c r="D479" s="123"/>
      <c r="E479" s="106"/>
      <c r="F479" s="106"/>
      <c r="G479" s="106"/>
      <c r="H479" s="8">
        <f t="shared" si="125"/>
        <v>17378992.400000002</v>
      </c>
      <c r="I479" s="87">
        <f t="shared" si="126"/>
        <v>17378992.400000002</v>
      </c>
      <c r="J479" s="87">
        <f t="shared" si="126"/>
        <v>0</v>
      </c>
      <c r="K479" s="87">
        <f t="shared" si="126"/>
        <v>0</v>
      </c>
      <c r="L479" s="3"/>
      <c r="M479" s="77"/>
      <c r="O479" s="102">
        <f>SUM(O476:O478)</f>
        <v>2708816900.1400003</v>
      </c>
      <c r="P479" s="102">
        <f>SUM(P476:P478)</f>
        <v>2403872103.0599999</v>
      </c>
      <c r="Q479" s="102">
        <f>SUM(Q476:Q478)</f>
        <v>944350189.72000003</v>
      </c>
    </row>
    <row r="480" spans="1:17" ht="25.5" x14ac:dyDescent="0.2">
      <c r="A480" s="9" t="s">
        <v>77</v>
      </c>
      <c r="B480" s="5" t="s">
        <v>182</v>
      </c>
      <c r="C480" s="124"/>
      <c r="D480" s="118"/>
      <c r="E480" s="119"/>
      <c r="F480" s="119"/>
      <c r="G480" s="119"/>
      <c r="H480" s="8">
        <f t="shared" si="125"/>
        <v>1977540.5399999998</v>
      </c>
      <c r="I480" s="8">
        <f t="shared" ref="I480:K481" si="127">I315</f>
        <v>1977540.5399999998</v>
      </c>
      <c r="J480" s="8">
        <f t="shared" si="127"/>
        <v>0</v>
      </c>
      <c r="K480" s="8">
        <f t="shared" si="127"/>
        <v>0</v>
      </c>
      <c r="M480" s="52"/>
    </row>
    <row r="481" spans="1:15" ht="25.5" x14ac:dyDescent="0.2">
      <c r="A481" s="9" t="s">
        <v>78</v>
      </c>
      <c r="B481" s="5" t="s">
        <v>23</v>
      </c>
      <c r="C481" s="124"/>
      <c r="D481" s="118"/>
      <c r="E481" s="119"/>
      <c r="F481" s="119"/>
      <c r="G481" s="119"/>
      <c r="H481" s="8">
        <f t="shared" si="125"/>
        <v>37573270.329999998</v>
      </c>
      <c r="I481" s="8">
        <f t="shared" si="127"/>
        <v>37573270.329999998</v>
      </c>
      <c r="J481" s="8">
        <f t="shared" si="127"/>
        <v>0</v>
      </c>
      <c r="K481" s="8">
        <f t="shared" si="127"/>
        <v>0</v>
      </c>
      <c r="M481" s="52"/>
    </row>
    <row r="482" spans="1:15" ht="25.5" x14ac:dyDescent="0.2">
      <c r="A482" s="186" t="s">
        <v>77</v>
      </c>
      <c r="B482" s="192" t="s">
        <v>338</v>
      </c>
      <c r="C482" s="124"/>
      <c r="D482" s="118"/>
      <c r="E482" s="119"/>
      <c r="F482" s="119"/>
      <c r="G482" s="119"/>
      <c r="H482" s="8">
        <f t="shared" si="125"/>
        <v>111652.06</v>
      </c>
      <c r="I482" s="8">
        <f t="shared" ref="I482:K483" si="128">I334</f>
        <v>111652.06</v>
      </c>
      <c r="J482" s="8">
        <f t="shared" si="128"/>
        <v>0</v>
      </c>
      <c r="K482" s="8">
        <f t="shared" si="128"/>
        <v>0</v>
      </c>
      <c r="M482" s="52"/>
      <c r="O482" t="s">
        <v>572</v>
      </c>
    </row>
    <row r="483" spans="1:15" ht="25.5" x14ac:dyDescent="0.2">
      <c r="A483" s="186" t="s">
        <v>78</v>
      </c>
      <c r="B483" s="192" t="s">
        <v>424</v>
      </c>
      <c r="C483" s="124"/>
      <c r="D483" s="118"/>
      <c r="E483" s="119"/>
      <c r="F483" s="119"/>
      <c r="G483" s="119"/>
      <c r="H483" s="8">
        <f t="shared" si="125"/>
        <v>2121389.15</v>
      </c>
      <c r="I483" s="8">
        <f t="shared" si="128"/>
        <v>2121389.15</v>
      </c>
      <c r="J483" s="8">
        <f t="shared" si="128"/>
        <v>0</v>
      </c>
      <c r="K483" s="8">
        <f t="shared" si="128"/>
        <v>0</v>
      </c>
      <c r="M483" s="52"/>
      <c r="N483" s="388" t="s">
        <v>469</v>
      </c>
      <c r="O483" s="102">
        <f>O476+P476+Q476</f>
        <v>173683429.15000001</v>
      </c>
    </row>
    <row r="484" spans="1:15" ht="25.5" x14ac:dyDescent="0.2">
      <c r="A484" s="186" t="s">
        <v>77</v>
      </c>
      <c r="B484" s="192" t="s">
        <v>339</v>
      </c>
      <c r="C484" s="124"/>
      <c r="D484" s="118"/>
      <c r="E484" s="119"/>
      <c r="F484" s="119"/>
      <c r="G484" s="119"/>
      <c r="H484" s="8">
        <f t="shared" si="125"/>
        <v>138309.56</v>
      </c>
      <c r="I484" s="8">
        <f t="shared" ref="I484:K485" si="129">I337</f>
        <v>138309.56</v>
      </c>
      <c r="J484" s="8">
        <f t="shared" si="129"/>
        <v>0</v>
      </c>
      <c r="K484" s="8">
        <f t="shared" si="129"/>
        <v>0</v>
      </c>
      <c r="M484" s="52"/>
      <c r="N484" s="388" t="s">
        <v>470</v>
      </c>
      <c r="O484" s="102">
        <f>O477+P477+Q477</f>
        <v>3778967163.7699995</v>
      </c>
    </row>
    <row r="485" spans="1:15" ht="25.5" x14ac:dyDescent="0.2">
      <c r="A485" s="186" t="s">
        <v>78</v>
      </c>
      <c r="B485" s="192" t="s">
        <v>425</v>
      </c>
      <c r="C485" s="124"/>
      <c r="D485" s="118"/>
      <c r="E485" s="119"/>
      <c r="F485" s="119"/>
      <c r="G485" s="119"/>
      <c r="H485" s="8">
        <f t="shared" si="125"/>
        <v>2627881.62</v>
      </c>
      <c r="I485" s="8">
        <f t="shared" si="129"/>
        <v>2627881.62</v>
      </c>
      <c r="J485" s="8">
        <f t="shared" si="129"/>
        <v>0</v>
      </c>
      <c r="K485" s="8">
        <f t="shared" si="129"/>
        <v>0</v>
      </c>
      <c r="M485" s="52"/>
      <c r="N485" s="388" t="s">
        <v>471</v>
      </c>
      <c r="O485" s="102">
        <f>O478+P478+Q478</f>
        <v>2104388600</v>
      </c>
    </row>
    <row r="486" spans="1:15" ht="25.5" x14ac:dyDescent="0.2">
      <c r="A486" s="186" t="s">
        <v>77</v>
      </c>
      <c r="B486" s="192" t="s">
        <v>340</v>
      </c>
      <c r="C486" s="124"/>
      <c r="D486" s="118"/>
      <c r="E486" s="119"/>
      <c r="F486" s="119"/>
      <c r="G486" s="119"/>
      <c r="H486" s="8">
        <f t="shared" si="125"/>
        <v>175409.88</v>
      </c>
      <c r="I486" s="8">
        <f t="shared" ref="I486:K487" si="130">I340</f>
        <v>175409.88</v>
      </c>
      <c r="J486" s="8">
        <f t="shared" si="130"/>
        <v>0</v>
      </c>
      <c r="K486" s="8">
        <f t="shared" si="130"/>
        <v>0</v>
      </c>
      <c r="M486" s="52"/>
      <c r="N486" s="388"/>
      <c r="O486" s="102">
        <f>O479+P479+Q479</f>
        <v>6057039192.920001</v>
      </c>
    </row>
    <row r="487" spans="1:15" ht="25.5" x14ac:dyDescent="0.2">
      <c r="A487" s="186" t="s">
        <v>78</v>
      </c>
      <c r="B487" s="192" t="s">
        <v>426</v>
      </c>
      <c r="C487" s="124"/>
      <c r="D487" s="118"/>
      <c r="E487" s="119"/>
      <c r="F487" s="119"/>
      <c r="G487" s="119"/>
      <c r="H487" s="8">
        <f t="shared" si="125"/>
        <v>3332787.77</v>
      </c>
      <c r="I487" s="8">
        <f t="shared" si="130"/>
        <v>3332787.77</v>
      </c>
      <c r="J487" s="8">
        <f t="shared" si="130"/>
        <v>0</v>
      </c>
      <c r="K487" s="8">
        <f t="shared" si="130"/>
        <v>0</v>
      </c>
      <c r="M487" s="52"/>
    </row>
    <row r="488" spans="1:15" ht="25.5" x14ac:dyDescent="0.2">
      <c r="A488" s="186" t="s">
        <v>413</v>
      </c>
      <c r="B488" s="192" t="s">
        <v>427</v>
      </c>
      <c r="C488" s="124"/>
      <c r="D488" s="118"/>
      <c r="E488" s="119"/>
      <c r="F488" s="119"/>
      <c r="G488" s="119"/>
      <c r="H488" s="8">
        <f t="shared" si="125"/>
        <v>1523482.5</v>
      </c>
      <c r="I488" s="8">
        <f t="shared" ref="I488:K490" si="131">I376</f>
        <v>347482.5</v>
      </c>
      <c r="J488" s="8">
        <f t="shared" si="131"/>
        <v>1176000</v>
      </c>
      <c r="K488" s="8">
        <f t="shared" si="131"/>
        <v>0</v>
      </c>
      <c r="M488" s="52"/>
    </row>
    <row r="489" spans="1:15" ht="25.5" x14ac:dyDescent="0.2">
      <c r="A489" s="186" t="s">
        <v>517</v>
      </c>
      <c r="B489" s="192" t="s">
        <v>428</v>
      </c>
      <c r="C489" s="124"/>
      <c r="D489" s="118"/>
      <c r="E489" s="119"/>
      <c r="F489" s="119"/>
      <c r="G489" s="119"/>
      <c r="H489" s="8">
        <f t="shared" si="125"/>
        <v>5370517.5</v>
      </c>
      <c r="I489" s="8">
        <f t="shared" si="131"/>
        <v>1200517.5</v>
      </c>
      <c r="J489" s="8">
        <f t="shared" si="131"/>
        <v>4170000</v>
      </c>
      <c r="K489" s="8">
        <f t="shared" si="131"/>
        <v>0</v>
      </c>
      <c r="M489" s="52"/>
    </row>
    <row r="490" spans="1:15" ht="25.5" x14ac:dyDescent="0.2">
      <c r="A490" s="186" t="s">
        <v>416</v>
      </c>
      <c r="B490" s="192" t="s">
        <v>428</v>
      </c>
      <c r="C490" s="124"/>
      <c r="D490" s="118"/>
      <c r="E490" s="119"/>
      <c r="F490" s="119"/>
      <c r="G490" s="119"/>
      <c r="H490" s="8">
        <f t="shared" si="125"/>
        <v>24929000</v>
      </c>
      <c r="I490" s="8">
        <f t="shared" si="131"/>
        <v>5599000</v>
      </c>
      <c r="J490" s="8">
        <f t="shared" si="131"/>
        <v>19330000</v>
      </c>
      <c r="K490" s="8">
        <f t="shared" si="131"/>
        <v>0</v>
      </c>
      <c r="M490" s="52"/>
    </row>
    <row r="491" spans="1:15" ht="25.5" x14ac:dyDescent="0.2">
      <c r="A491" s="186" t="s">
        <v>413</v>
      </c>
      <c r="B491" s="192" t="s">
        <v>429</v>
      </c>
      <c r="C491" s="124"/>
      <c r="D491" s="118"/>
      <c r="E491" s="119"/>
      <c r="F491" s="119"/>
      <c r="G491" s="119"/>
      <c r="H491" s="8">
        <f t="shared" si="125"/>
        <v>527670.35</v>
      </c>
      <c r="I491" s="8">
        <f t="shared" ref="I491:K493" si="132">I380</f>
        <v>163792.81</v>
      </c>
      <c r="J491" s="8">
        <f t="shared" si="132"/>
        <v>363877.54</v>
      </c>
      <c r="K491" s="8">
        <f t="shared" si="132"/>
        <v>0</v>
      </c>
      <c r="M491" s="52"/>
    </row>
    <row r="492" spans="1:15" ht="25.5" x14ac:dyDescent="0.2">
      <c r="A492" s="186" t="s">
        <v>517</v>
      </c>
      <c r="B492" s="192" t="s">
        <v>429</v>
      </c>
      <c r="C492" s="124"/>
      <c r="D492" s="118"/>
      <c r="E492" s="119"/>
      <c r="F492" s="119"/>
      <c r="G492" s="119"/>
      <c r="H492" s="8">
        <f t="shared" si="125"/>
        <v>1870329.65</v>
      </c>
      <c r="I492" s="8">
        <f t="shared" si="132"/>
        <v>581207.18999999994</v>
      </c>
      <c r="J492" s="8">
        <f t="shared" si="132"/>
        <v>1289122.46</v>
      </c>
      <c r="K492" s="8">
        <f t="shared" si="132"/>
        <v>0</v>
      </c>
      <c r="M492" s="52"/>
    </row>
    <row r="493" spans="1:15" ht="25.5" x14ac:dyDescent="0.2">
      <c r="A493" s="186" t="s">
        <v>416</v>
      </c>
      <c r="B493" s="192" t="s">
        <v>429</v>
      </c>
      <c r="C493" s="124"/>
      <c r="D493" s="118"/>
      <c r="E493" s="119"/>
      <c r="F493" s="119"/>
      <c r="G493" s="119"/>
      <c r="H493" s="8">
        <f t="shared" si="125"/>
        <v>8670000</v>
      </c>
      <c r="I493" s="8">
        <f t="shared" si="132"/>
        <v>2694000</v>
      </c>
      <c r="J493" s="8">
        <f t="shared" si="132"/>
        <v>5976000</v>
      </c>
      <c r="K493" s="8">
        <f t="shared" si="132"/>
        <v>0</v>
      </c>
      <c r="M493" s="52"/>
    </row>
    <row r="494" spans="1:15" ht="25.5" x14ac:dyDescent="0.2">
      <c r="A494" s="186" t="s">
        <v>314</v>
      </c>
      <c r="B494" s="192" t="s">
        <v>306</v>
      </c>
      <c r="C494" s="124"/>
      <c r="D494" s="118"/>
      <c r="E494" s="119"/>
      <c r="F494" s="119"/>
      <c r="G494" s="119"/>
      <c r="H494" s="8">
        <f t="shared" si="125"/>
        <v>1538400</v>
      </c>
      <c r="I494" s="8">
        <f>I408+I412+I416</f>
        <v>1538400</v>
      </c>
      <c r="J494" s="8">
        <f>J408+J412+J416</f>
        <v>0</v>
      </c>
      <c r="K494" s="8">
        <f>K408+K412+K416</f>
        <v>0</v>
      </c>
      <c r="M494" s="52"/>
    </row>
    <row r="495" spans="1:15" ht="25.5" x14ac:dyDescent="0.2">
      <c r="A495" s="186" t="s">
        <v>314</v>
      </c>
      <c r="B495" s="192" t="s">
        <v>607</v>
      </c>
      <c r="C495" s="124"/>
      <c r="D495" s="118"/>
      <c r="E495" s="119"/>
      <c r="F495" s="119"/>
      <c r="G495" s="119"/>
      <c r="H495" s="8">
        <f t="shared" si="125"/>
        <v>686169</v>
      </c>
      <c r="I495" s="8">
        <f>I420</f>
        <v>686169</v>
      </c>
      <c r="J495" s="8">
        <f>J420</f>
        <v>0</v>
      </c>
      <c r="K495" s="8">
        <f>K420</f>
        <v>0</v>
      </c>
      <c r="M495" s="52"/>
    </row>
    <row r="496" spans="1:15" ht="25.5" x14ac:dyDescent="0.2">
      <c r="A496" s="186" t="s">
        <v>337</v>
      </c>
      <c r="B496" s="192" t="s">
        <v>489</v>
      </c>
      <c r="C496" s="124"/>
      <c r="D496" s="118"/>
      <c r="E496" s="119"/>
      <c r="F496" s="119"/>
      <c r="G496" s="119"/>
      <c r="H496" s="8">
        <f t="shared" si="125"/>
        <v>35891.74</v>
      </c>
      <c r="I496" s="8">
        <f>I385</f>
        <v>35891.74</v>
      </c>
      <c r="J496" s="8">
        <f>J385</f>
        <v>0</v>
      </c>
      <c r="K496" s="8">
        <f>K385</f>
        <v>0</v>
      </c>
      <c r="M496" s="52"/>
    </row>
    <row r="497" spans="1:13" ht="25.5" x14ac:dyDescent="0.2">
      <c r="A497" s="186" t="s">
        <v>81</v>
      </c>
      <c r="B497" s="192" t="s">
        <v>341</v>
      </c>
      <c r="C497" s="124"/>
      <c r="D497" s="118"/>
      <c r="E497" s="119"/>
      <c r="F497" s="119"/>
      <c r="G497" s="119"/>
      <c r="H497" s="8">
        <f t="shared" si="125"/>
        <v>7898.4399999999978</v>
      </c>
      <c r="I497" s="8">
        <f>I390</f>
        <v>7898.4399999999978</v>
      </c>
      <c r="J497" s="8">
        <f>J390</f>
        <v>0</v>
      </c>
      <c r="K497" s="8">
        <f>K390</f>
        <v>0</v>
      </c>
      <c r="M497" s="52"/>
    </row>
    <row r="498" spans="1:13" ht="25.5" x14ac:dyDescent="0.2">
      <c r="A498" s="186" t="s">
        <v>445</v>
      </c>
      <c r="B498" s="192" t="s">
        <v>341</v>
      </c>
      <c r="C498" s="124"/>
      <c r="D498" s="118"/>
      <c r="E498" s="119"/>
      <c r="F498" s="119"/>
      <c r="G498" s="119"/>
      <c r="H498" s="8">
        <f t="shared" si="125"/>
        <v>0</v>
      </c>
      <c r="I498" s="8">
        <f>I392</f>
        <v>0</v>
      </c>
      <c r="J498" s="8">
        <f>J392</f>
        <v>0</v>
      </c>
      <c r="K498" s="8">
        <f>K392</f>
        <v>0</v>
      </c>
      <c r="M498" s="52"/>
    </row>
    <row r="499" spans="1:13" ht="25.5" x14ac:dyDescent="0.2">
      <c r="A499" s="186" t="s">
        <v>81</v>
      </c>
      <c r="B499" s="192" t="s">
        <v>499</v>
      </c>
      <c r="C499" s="124"/>
      <c r="D499" s="118"/>
      <c r="E499" s="119"/>
      <c r="F499" s="119"/>
      <c r="G499" s="119"/>
      <c r="H499" s="8">
        <f t="shared" si="125"/>
        <v>38032.85</v>
      </c>
      <c r="I499" s="8">
        <f>I391</f>
        <v>38032.85</v>
      </c>
      <c r="J499" s="8">
        <f>J391</f>
        <v>0</v>
      </c>
      <c r="K499" s="8">
        <f>K391</f>
        <v>0</v>
      </c>
      <c r="M499" s="52"/>
    </row>
    <row r="500" spans="1:13" ht="25.5" x14ac:dyDescent="0.2">
      <c r="A500" s="186" t="s">
        <v>445</v>
      </c>
      <c r="B500" s="192" t="s">
        <v>500</v>
      </c>
      <c r="C500" s="124"/>
      <c r="D500" s="118"/>
      <c r="E500" s="119"/>
      <c r="F500" s="119"/>
      <c r="G500" s="119"/>
      <c r="H500" s="8">
        <f t="shared" si="125"/>
        <v>37652.53</v>
      </c>
      <c r="I500" s="8">
        <f t="shared" ref="I500:K501" si="133">I393</f>
        <v>37652.53</v>
      </c>
      <c r="J500" s="8">
        <f t="shared" si="133"/>
        <v>0</v>
      </c>
      <c r="K500" s="8">
        <f t="shared" si="133"/>
        <v>0</v>
      </c>
      <c r="M500" s="52"/>
    </row>
    <row r="501" spans="1:13" ht="25.5" x14ac:dyDescent="0.2">
      <c r="A501" s="186" t="s">
        <v>448</v>
      </c>
      <c r="B501" s="192" t="s">
        <v>500</v>
      </c>
      <c r="C501" s="124"/>
      <c r="D501" s="118"/>
      <c r="E501" s="119"/>
      <c r="F501" s="119"/>
      <c r="G501" s="119"/>
      <c r="H501" s="8">
        <f t="shared" si="125"/>
        <v>3727600</v>
      </c>
      <c r="I501" s="8">
        <f t="shared" si="133"/>
        <v>3727600</v>
      </c>
      <c r="J501" s="8">
        <f t="shared" si="133"/>
        <v>0</v>
      </c>
      <c r="K501" s="8">
        <f t="shared" si="133"/>
        <v>0</v>
      </c>
      <c r="M501" s="52"/>
    </row>
    <row r="502" spans="1:13" ht="25.5" x14ac:dyDescent="0.2">
      <c r="A502" s="186" t="s">
        <v>81</v>
      </c>
      <c r="B502" s="192" t="s">
        <v>342</v>
      </c>
      <c r="C502" s="124"/>
      <c r="D502" s="118"/>
      <c r="E502" s="119"/>
      <c r="F502" s="119"/>
      <c r="G502" s="119"/>
      <c r="H502" s="8">
        <f t="shared" si="125"/>
        <v>4809.1899999999978</v>
      </c>
      <c r="I502" s="8">
        <f>I399</f>
        <v>4809.1899999999978</v>
      </c>
      <c r="J502" s="8">
        <f>J399</f>
        <v>0</v>
      </c>
      <c r="K502" s="8">
        <f>K399</f>
        <v>0</v>
      </c>
      <c r="M502" s="52"/>
    </row>
    <row r="503" spans="1:13" ht="25.5" x14ac:dyDescent="0.2">
      <c r="A503" s="186" t="s">
        <v>445</v>
      </c>
      <c r="B503" s="192" t="s">
        <v>450</v>
      </c>
      <c r="C503" s="124"/>
      <c r="D503" s="118"/>
      <c r="E503" s="119"/>
      <c r="F503" s="119"/>
      <c r="G503" s="119"/>
      <c r="H503" s="8">
        <f t="shared" si="125"/>
        <v>97596.729999999981</v>
      </c>
      <c r="I503" s="8">
        <f>I401</f>
        <v>97596.729999999981</v>
      </c>
      <c r="J503" s="8">
        <f>J401</f>
        <v>0</v>
      </c>
      <c r="K503" s="8">
        <f>K401</f>
        <v>0</v>
      </c>
      <c r="M503" s="52"/>
    </row>
    <row r="504" spans="1:13" ht="25.5" x14ac:dyDescent="0.2">
      <c r="A504" s="186" t="s">
        <v>81</v>
      </c>
      <c r="B504" s="192" t="s">
        <v>501</v>
      </c>
      <c r="C504" s="124"/>
      <c r="D504" s="118"/>
      <c r="E504" s="119"/>
      <c r="F504" s="119"/>
      <c r="G504" s="119"/>
      <c r="H504" s="8">
        <f t="shared" si="125"/>
        <v>27846.14</v>
      </c>
      <c r="I504" s="8">
        <f>I400</f>
        <v>27846.14</v>
      </c>
      <c r="J504" s="8">
        <f>J400</f>
        <v>0</v>
      </c>
      <c r="K504" s="8">
        <f>K400</f>
        <v>0</v>
      </c>
      <c r="M504" s="52"/>
    </row>
    <row r="505" spans="1:13" ht="25.5" x14ac:dyDescent="0.2">
      <c r="A505" s="186" t="s">
        <v>445</v>
      </c>
      <c r="B505" s="192" t="s">
        <v>502</v>
      </c>
      <c r="C505" s="124"/>
      <c r="D505" s="118"/>
      <c r="E505" s="119"/>
      <c r="F505" s="119"/>
      <c r="G505" s="119"/>
      <c r="H505" s="8">
        <f t="shared" si="125"/>
        <v>27567.68</v>
      </c>
      <c r="I505" s="8">
        <f t="shared" ref="I505:K506" si="134">I402</f>
        <v>27567.68</v>
      </c>
      <c r="J505" s="8">
        <f t="shared" si="134"/>
        <v>0</v>
      </c>
      <c r="K505" s="8">
        <f t="shared" si="134"/>
        <v>0</v>
      </c>
      <c r="M505" s="52"/>
    </row>
    <row r="506" spans="1:13" ht="25.5" x14ac:dyDescent="0.2">
      <c r="A506" s="186" t="s">
        <v>448</v>
      </c>
      <c r="B506" s="192" t="s">
        <v>501</v>
      </c>
      <c r="C506" s="124"/>
      <c r="D506" s="118"/>
      <c r="E506" s="119"/>
      <c r="F506" s="119"/>
      <c r="G506" s="119"/>
      <c r="H506" s="8">
        <f t="shared" si="125"/>
        <v>2729200</v>
      </c>
      <c r="I506" s="8">
        <f t="shared" si="134"/>
        <v>2729200</v>
      </c>
      <c r="J506" s="8">
        <f t="shared" si="134"/>
        <v>0</v>
      </c>
      <c r="K506" s="8">
        <f t="shared" si="134"/>
        <v>0</v>
      </c>
      <c r="M506" s="52"/>
    </row>
    <row r="507" spans="1:13" ht="25.5" x14ac:dyDescent="0.2">
      <c r="A507" s="9" t="s">
        <v>81</v>
      </c>
      <c r="B507" s="5" t="s">
        <v>24</v>
      </c>
      <c r="C507" s="124"/>
      <c r="D507" s="118"/>
      <c r="E507" s="119"/>
      <c r="F507" s="119"/>
      <c r="G507" s="119"/>
      <c r="H507" s="8">
        <f t="shared" si="125"/>
        <v>100000</v>
      </c>
      <c r="I507" s="8">
        <f t="shared" ref="I507:K508" si="135">I409</f>
        <v>0</v>
      </c>
      <c r="J507" s="8">
        <f t="shared" si="135"/>
        <v>100000</v>
      </c>
      <c r="K507" s="8">
        <f t="shared" si="135"/>
        <v>0</v>
      </c>
      <c r="M507" s="52"/>
    </row>
    <row r="508" spans="1:13" ht="25.5" x14ac:dyDescent="0.2">
      <c r="A508" s="9" t="s">
        <v>82</v>
      </c>
      <c r="B508" s="5" t="s">
        <v>25</v>
      </c>
      <c r="C508" s="124"/>
      <c r="D508" s="118"/>
      <c r="E508" s="119"/>
      <c r="F508" s="119"/>
      <c r="G508" s="119"/>
      <c r="H508" s="8">
        <f t="shared" si="125"/>
        <v>9900000</v>
      </c>
      <c r="I508" s="8">
        <f t="shared" si="135"/>
        <v>0</v>
      </c>
      <c r="J508" s="8">
        <f t="shared" si="135"/>
        <v>9900000</v>
      </c>
      <c r="K508" s="8">
        <f t="shared" si="135"/>
        <v>0</v>
      </c>
      <c r="M508" s="52"/>
    </row>
    <row r="509" spans="1:13" ht="25.5" x14ac:dyDescent="0.2">
      <c r="A509" s="9" t="s">
        <v>81</v>
      </c>
      <c r="B509" s="5" t="s">
        <v>27</v>
      </c>
      <c r="C509" s="124"/>
      <c r="D509" s="118"/>
      <c r="E509" s="119"/>
      <c r="F509" s="119"/>
      <c r="G509" s="119"/>
      <c r="H509" s="8">
        <f>I509+J509+K509</f>
        <v>100000</v>
      </c>
      <c r="I509" s="8">
        <f t="shared" ref="I509:K510" si="136">I413</f>
        <v>0</v>
      </c>
      <c r="J509" s="8">
        <f t="shared" si="136"/>
        <v>100000</v>
      </c>
      <c r="K509" s="8">
        <f t="shared" si="136"/>
        <v>0</v>
      </c>
      <c r="M509" s="52"/>
    </row>
    <row r="510" spans="1:13" ht="25.5" x14ac:dyDescent="0.2">
      <c r="A510" s="9" t="s">
        <v>82</v>
      </c>
      <c r="B510" s="5" t="s">
        <v>26</v>
      </c>
      <c r="C510" s="124"/>
      <c r="D510" s="118"/>
      <c r="E510" s="119"/>
      <c r="F510" s="119"/>
      <c r="G510" s="119"/>
      <c r="H510" s="8">
        <f t="shared" si="125"/>
        <v>9900000</v>
      </c>
      <c r="I510" s="8">
        <f t="shared" si="136"/>
        <v>0</v>
      </c>
      <c r="J510" s="8">
        <f t="shared" si="136"/>
        <v>9900000</v>
      </c>
      <c r="K510" s="8">
        <f t="shared" si="136"/>
        <v>0</v>
      </c>
      <c r="M510" s="52"/>
    </row>
    <row r="511" spans="1:13" ht="25.5" x14ac:dyDescent="0.2">
      <c r="A511" s="9" t="s">
        <v>81</v>
      </c>
      <c r="B511" s="5" t="s">
        <v>183</v>
      </c>
      <c r="C511" s="124"/>
      <c r="D511" s="118"/>
      <c r="E511" s="119"/>
      <c r="F511" s="119"/>
      <c r="G511" s="119"/>
      <c r="H511" s="8">
        <f t="shared" si="125"/>
        <v>120000</v>
      </c>
      <c r="I511" s="8">
        <f t="shared" ref="I511:K512" si="137">I417</f>
        <v>0</v>
      </c>
      <c r="J511" s="8">
        <f t="shared" si="137"/>
        <v>120000</v>
      </c>
      <c r="K511" s="8">
        <f t="shared" si="137"/>
        <v>0</v>
      </c>
      <c r="M511" s="52"/>
    </row>
    <row r="512" spans="1:13" ht="25.5" x14ac:dyDescent="0.2">
      <c r="A512" s="9" t="s">
        <v>82</v>
      </c>
      <c r="B512" s="5" t="s">
        <v>28</v>
      </c>
      <c r="C512" s="124"/>
      <c r="D512" s="118"/>
      <c r="E512" s="119"/>
      <c r="F512" s="119"/>
      <c r="G512" s="119"/>
      <c r="H512" s="8">
        <f t="shared" si="125"/>
        <v>11880000</v>
      </c>
      <c r="I512" s="8">
        <f t="shared" si="137"/>
        <v>0</v>
      </c>
      <c r="J512" s="8">
        <f t="shared" si="137"/>
        <v>11880000</v>
      </c>
      <c r="K512" s="8">
        <f t="shared" si="137"/>
        <v>0</v>
      </c>
      <c r="M512" s="52"/>
    </row>
    <row r="513" spans="1:13" ht="25.5" x14ac:dyDescent="0.2">
      <c r="A513" s="186" t="s">
        <v>558</v>
      </c>
      <c r="B513" s="192" t="s">
        <v>569</v>
      </c>
      <c r="C513" s="124"/>
      <c r="D513" s="118"/>
      <c r="E513" s="119"/>
      <c r="F513" s="119"/>
      <c r="G513" s="119"/>
      <c r="H513" s="8">
        <f t="shared" si="125"/>
        <v>3434343.43</v>
      </c>
      <c r="I513" s="8">
        <f t="shared" ref="I513:K514" si="138">I426</f>
        <v>3434343.43</v>
      </c>
      <c r="J513" s="8">
        <f t="shared" si="138"/>
        <v>0</v>
      </c>
      <c r="K513" s="8">
        <f t="shared" si="138"/>
        <v>0</v>
      </c>
      <c r="M513" s="52"/>
    </row>
    <row r="514" spans="1:13" ht="25.5" x14ac:dyDescent="0.2">
      <c r="A514" s="186" t="s">
        <v>557</v>
      </c>
      <c r="B514" s="192" t="s">
        <v>570</v>
      </c>
      <c r="C514" s="124"/>
      <c r="D514" s="118"/>
      <c r="E514" s="119"/>
      <c r="F514" s="119"/>
      <c r="G514" s="119"/>
      <c r="H514" s="8">
        <f t="shared" si="125"/>
        <v>340000000</v>
      </c>
      <c r="I514" s="8">
        <f t="shared" si="138"/>
        <v>340000000</v>
      </c>
      <c r="J514" s="8">
        <f t="shared" si="138"/>
        <v>0</v>
      </c>
      <c r="K514" s="8">
        <f t="shared" si="138"/>
        <v>0</v>
      </c>
      <c r="M514" s="52"/>
    </row>
    <row r="515" spans="1:13" ht="25.5" x14ac:dyDescent="0.2">
      <c r="A515" s="9" t="s">
        <v>65</v>
      </c>
      <c r="B515" s="95" t="s">
        <v>249</v>
      </c>
      <c r="C515" s="124"/>
      <c r="D515" s="118"/>
      <c r="E515" s="119"/>
      <c r="F515" s="119"/>
      <c r="G515" s="119"/>
      <c r="H515" s="8">
        <f t="shared" si="125"/>
        <v>5132300</v>
      </c>
      <c r="I515" s="8">
        <f>I439+I452+I446</f>
        <v>5132300</v>
      </c>
      <c r="J515" s="8">
        <f>J439+J452+J446</f>
        <v>0</v>
      </c>
      <c r="K515" s="8">
        <f>K439+K452+K446</f>
        <v>0</v>
      </c>
      <c r="M515" s="52"/>
    </row>
    <row r="516" spans="1:13" ht="25.5" x14ac:dyDescent="0.2">
      <c r="A516" s="186" t="s">
        <v>159</v>
      </c>
      <c r="B516" s="192" t="s">
        <v>225</v>
      </c>
      <c r="C516" s="124"/>
      <c r="D516" s="118"/>
      <c r="E516" s="119"/>
      <c r="F516" s="119"/>
      <c r="G516" s="119"/>
      <c r="H516" s="8">
        <f t="shared" si="125"/>
        <v>10850423.439999999</v>
      </c>
      <c r="I516" s="8">
        <f>I433</f>
        <v>4148078.77</v>
      </c>
      <c r="J516" s="8">
        <f>J433</f>
        <v>6702344.6699999999</v>
      </c>
      <c r="K516" s="8">
        <f>K433</f>
        <v>0</v>
      </c>
      <c r="M516" s="52"/>
    </row>
    <row r="517" spans="1:13" ht="25.5" x14ac:dyDescent="0.2">
      <c r="A517" s="186" t="s">
        <v>132</v>
      </c>
      <c r="B517" s="192" t="s">
        <v>225</v>
      </c>
      <c r="C517" s="124"/>
      <c r="D517" s="118"/>
      <c r="E517" s="119"/>
      <c r="F517" s="119"/>
      <c r="G517" s="119"/>
      <c r="H517" s="8">
        <f t="shared" si="125"/>
        <v>10741920</v>
      </c>
      <c r="I517" s="8">
        <f t="shared" ref="I517:K518" si="139">I436</f>
        <v>4106598</v>
      </c>
      <c r="J517" s="8">
        <f t="shared" si="139"/>
        <v>6635322</v>
      </c>
      <c r="K517" s="8">
        <f t="shared" si="139"/>
        <v>0</v>
      </c>
      <c r="M517" s="52"/>
    </row>
    <row r="518" spans="1:13" ht="25.5" x14ac:dyDescent="0.2">
      <c r="A518" s="186" t="s">
        <v>184</v>
      </c>
      <c r="B518" s="192" t="s">
        <v>225</v>
      </c>
      <c r="C518" s="124"/>
      <c r="D518" s="118"/>
      <c r="E518" s="119"/>
      <c r="F518" s="119"/>
      <c r="G518" s="119"/>
      <c r="H518" s="8">
        <f t="shared" si="125"/>
        <v>1063450000</v>
      </c>
      <c r="I518" s="8">
        <f t="shared" si="139"/>
        <v>406553200</v>
      </c>
      <c r="J518" s="8">
        <f t="shared" si="139"/>
        <v>656896800</v>
      </c>
      <c r="K518" s="8">
        <f t="shared" si="139"/>
        <v>0</v>
      </c>
      <c r="M518" s="52"/>
    </row>
    <row r="519" spans="1:13" ht="25.5" x14ac:dyDescent="0.2">
      <c r="A519" s="186" t="s">
        <v>123</v>
      </c>
      <c r="B519" s="5" t="s">
        <v>223</v>
      </c>
      <c r="C519" s="124"/>
      <c r="D519" s="118"/>
      <c r="E519" s="119"/>
      <c r="F519" s="119"/>
      <c r="G519" s="119"/>
      <c r="H519" s="8">
        <f t="shared" si="125"/>
        <v>9391885.879999999</v>
      </c>
      <c r="I519" s="8">
        <f>I440</f>
        <v>3662106.17</v>
      </c>
      <c r="J519" s="8">
        <f>J440</f>
        <v>5729779.71</v>
      </c>
      <c r="K519" s="8">
        <f>K440</f>
        <v>0</v>
      </c>
      <c r="M519" s="52"/>
    </row>
    <row r="520" spans="1:13" ht="25.5" x14ac:dyDescent="0.2">
      <c r="A520" s="186" t="s">
        <v>120</v>
      </c>
      <c r="B520" s="5" t="s">
        <v>224</v>
      </c>
      <c r="C520" s="124"/>
      <c r="D520" s="118"/>
      <c r="E520" s="119"/>
      <c r="F520" s="119"/>
      <c r="G520" s="119"/>
      <c r="H520" s="8">
        <f t="shared" si="125"/>
        <v>55787802.130000003</v>
      </c>
      <c r="I520" s="8">
        <f t="shared" ref="I520:K521" si="140">I443</f>
        <v>21752910.640000001</v>
      </c>
      <c r="J520" s="8">
        <f t="shared" si="140"/>
        <v>34034891.490000002</v>
      </c>
      <c r="K520" s="8">
        <f t="shared" si="140"/>
        <v>0</v>
      </c>
      <c r="M520" s="52"/>
    </row>
    <row r="521" spans="1:13" ht="25.5" x14ac:dyDescent="0.2">
      <c r="A521" s="186" t="s">
        <v>121</v>
      </c>
      <c r="B521" s="5" t="s">
        <v>223</v>
      </c>
      <c r="C521" s="124"/>
      <c r="D521" s="118"/>
      <c r="E521" s="119"/>
      <c r="F521" s="119"/>
      <c r="G521" s="119"/>
      <c r="H521" s="8">
        <f t="shared" si="125"/>
        <v>874008900</v>
      </c>
      <c r="I521" s="8">
        <f t="shared" si="140"/>
        <v>340795600</v>
      </c>
      <c r="J521" s="8">
        <f t="shared" si="140"/>
        <v>533213300</v>
      </c>
      <c r="K521" s="8">
        <f t="shared" si="140"/>
        <v>0</v>
      </c>
      <c r="M521" s="52"/>
    </row>
    <row r="522" spans="1:13" ht="25.5" x14ac:dyDescent="0.2">
      <c r="A522" s="186" t="s">
        <v>159</v>
      </c>
      <c r="B522" s="192" t="s">
        <v>347</v>
      </c>
      <c r="C522" s="124"/>
      <c r="D522" s="118"/>
      <c r="E522" s="119"/>
      <c r="F522" s="119"/>
      <c r="G522" s="119"/>
      <c r="H522" s="8">
        <f t="shared" si="125"/>
        <v>3649576.5700000003</v>
      </c>
      <c r="I522" s="8">
        <f t="shared" ref="I522:K523" si="141">I434</f>
        <v>3649576.5700000003</v>
      </c>
      <c r="J522" s="8">
        <f t="shared" si="141"/>
        <v>0</v>
      </c>
      <c r="K522" s="8">
        <f t="shared" si="141"/>
        <v>0</v>
      </c>
      <c r="M522" s="52"/>
    </row>
    <row r="523" spans="1:13" ht="25.5" x14ac:dyDescent="0.2">
      <c r="A523" s="186" t="s">
        <v>132</v>
      </c>
      <c r="B523" s="192" t="s">
        <v>458</v>
      </c>
      <c r="C523" s="124"/>
      <c r="D523" s="118"/>
      <c r="E523" s="119"/>
      <c r="F523" s="119"/>
      <c r="G523" s="119"/>
      <c r="H523" s="8">
        <f t="shared" si="125"/>
        <v>361308080</v>
      </c>
      <c r="I523" s="8">
        <f t="shared" si="141"/>
        <v>361308080</v>
      </c>
      <c r="J523" s="8">
        <f t="shared" si="141"/>
        <v>0</v>
      </c>
      <c r="K523" s="8">
        <f t="shared" si="141"/>
        <v>0</v>
      </c>
      <c r="M523" s="52"/>
    </row>
    <row r="524" spans="1:13" ht="25.5" x14ac:dyDescent="0.2">
      <c r="A524" s="186" t="s">
        <v>123</v>
      </c>
      <c r="B524" s="192" t="s">
        <v>348</v>
      </c>
      <c r="C524" s="124"/>
      <c r="D524" s="118"/>
      <c r="E524" s="119"/>
      <c r="F524" s="119"/>
      <c r="G524" s="119"/>
      <c r="H524" s="8">
        <f t="shared" si="125"/>
        <v>5108114.12</v>
      </c>
      <c r="I524" s="8">
        <f t="shared" ref="I524:K525" si="142">I441</f>
        <v>5108114.12</v>
      </c>
      <c r="J524" s="8">
        <f t="shared" si="142"/>
        <v>0</v>
      </c>
      <c r="K524" s="8">
        <f t="shared" si="142"/>
        <v>0</v>
      </c>
      <c r="M524" s="52"/>
    </row>
    <row r="525" spans="1:13" ht="25.5" x14ac:dyDescent="0.2">
      <c r="A525" s="186" t="s">
        <v>459</v>
      </c>
      <c r="B525" s="192" t="s">
        <v>460</v>
      </c>
      <c r="C525" s="124"/>
      <c r="D525" s="118"/>
      <c r="E525" s="119"/>
      <c r="F525" s="119"/>
      <c r="G525" s="119"/>
      <c r="H525" s="8">
        <f t="shared" si="125"/>
        <v>505703297.87</v>
      </c>
      <c r="I525" s="8">
        <f t="shared" si="142"/>
        <v>505703297.87</v>
      </c>
      <c r="J525" s="8">
        <f t="shared" si="142"/>
        <v>0</v>
      </c>
      <c r="K525" s="8">
        <f t="shared" si="142"/>
        <v>0</v>
      </c>
      <c r="M525" s="52"/>
    </row>
    <row r="526" spans="1:13" ht="25.5" x14ac:dyDescent="0.2">
      <c r="A526" s="186" t="s">
        <v>346</v>
      </c>
      <c r="B526" s="192" t="s">
        <v>349</v>
      </c>
      <c r="C526" s="124"/>
      <c r="D526" s="118"/>
      <c r="E526" s="119"/>
      <c r="F526" s="119"/>
      <c r="G526" s="119"/>
      <c r="H526" s="8">
        <f t="shared" si="125"/>
        <v>15703327.770000001</v>
      </c>
      <c r="I526" s="8">
        <f t="shared" ref="I526:K527" si="143">I453</f>
        <v>8157894.7400000002</v>
      </c>
      <c r="J526" s="8">
        <f t="shared" si="143"/>
        <v>7545433.0300000012</v>
      </c>
      <c r="K526" s="8">
        <f t="shared" si="143"/>
        <v>0</v>
      </c>
      <c r="M526" s="52"/>
    </row>
    <row r="527" spans="1:13" ht="25.5" x14ac:dyDescent="0.2">
      <c r="A527" s="186" t="s">
        <v>455</v>
      </c>
      <c r="B527" s="192" t="s">
        <v>456</v>
      </c>
      <c r="C527" s="124"/>
      <c r="D527" s="118"/>
      <c r="E527" s="119"/>
      <c r="F527" s="119"/>
      <c r="G527" s="119"/>
      <c r="H527" s="8">
        <f t="shared" si="125"/>
        <v>298363227.62</v>
      </c>
      <c r="I527" s="8">
        <f t="shared" si="143"/>
        <v>155000000</v>
      </c>
      <c r="J527" s="8">
        <f t="shared" si="143"/>
        <v>143363227.62</v>
      </c>
      <c r="K527" s="8">
        <f t="shared" si="143"/>
        <v>0</v>
      </c>
      <c r="M527" s="52"/>
    </row>
    <row r="528" spans="1:13" ht="25.5" x14ac:dyDescent="0.2">
      <c r="A528" s="186" t="s">
        <v>65</v>
      </c>
      <c r="B528" s="192" t="s">
        <v>330</v>
      </c>
      <c r="C528" s="124"/>
      <c r="D528" s="118"/>
      <c r="E528" s="119"/>
      <c r="F528" s="119"/>
      <c r="G528" s="119"/>
      <c r="H528" s="8">
        <f t="shared" si="125"/>
        <v>39137227.310000002</v>
      </c>
      <c r="I528" s="8">
        <f>I456</f>
        <v>39137227.310000002</v>
      </c>
      <c r="J528" s="8">
        <f>J456</f>
        <v>0</v>
      </c>
      <c r="K528" s="8">
        <f>K456</f>
        <v>0</v>
      </c>
      <c r="M528" s="52"/>
    </row>
    <row r="529" spans="1:13" ht="25.5" x14ac:dyDescent="0.2">
      <c r="A529" s="186" t="s">
        <v>513</v>
      </c>
      <c r="B529" s="5" t="s">
        <v>143</v>
      </c>
      <c r="C529" s="124"/>
      <c r="D529" s="118"/>
      <c r="E529" s="119"/>
      <c r="F529" s="119"/>
      <c r="G529" s="119"/>
      <c r="H529" s="8">
        <f t="shared" si="125"/>
        <v>3601151.52</v>
      </c>
      <c r="I529" s="8">
        <f t="shared" ref="I529:K532" si="144">I447</f>
        <v>0</v>
      </c>
      <c r="J529" s="8">
        <f t="shared" si="144"/>
        <v>1800575.76</v>
      </c>
      <c r="K529" s="8">
        <f t="shared" si="144"/>
        <v>1800575.76</v>
      </c>
      <c r="M529" s="52"/>
    </row>
    <row r="530" spans="1:13" ht="25.5" x14ac:dyDescent="0.2">
      <c r="A530" s="186" t="s">
        <v>513</v>
      </c>
      <c r="B530" s="5" t="s">
        <v>231</v>
      </c>
      <c r="C530" s="124"/>
      <c r="D530" s="118"/>
      <c r="E530" s="119"/>
      <c r="F530" s="119"/>
      <c r="G530" s="119"/>
      <c r="H530" s="8">
        <f t="shared" si="125"/>
        <v>16993808.089999996</v>
      </c>
      <c r="I530" s="8">
        <f t="shared" si="144"/>
        <v>3030303.03</v>
      </c>
      <c r="J530" s="8">
        <f t="shared" si="144"/>
        <v>6981752.5299999993</v>
      </c>
      <c r="K530" s="8">
        <f t="shared" si="144"/>
        <v>6981752.5299999993</v>
      </c>
      <c r="M530" s="52"/>
    </row>
    <row r="531" spans="1:13" ht="25.5" x14ac:dyDescent="0.2">
      <c r="A531" s="186" t="s">
        <v>140</v>
      </c>
      <c r="B531" s="5" t="s">
        <v>142</v>
      </c>
      <c r="C531" s="124"/>
      <c r="D531" s="118"/>
      <c r="E531" s="119"/>
      <c r="F531" s="119"/>
      <c r="G531" s="119"/>
      <c r="H531" s="8">
        <f t="shared" si="125"/>
        <v>338912031.10000002</v>
      </c>
      <c r="I531" s="8">
        <f t="shared" si="144"/>
        <v>0</v>
      </c>
      <c r="J531" s="8">
        <f t="shared" si="144"/>
        <v>178257000</v>
      </c>
      <c r="K531" s="8">
        <f t="shared" si="144"/>
        <v>160655031.09999999</v>
      </c>
      <c r="M531" s="52"/>
    </row>
    <row r="532" spans="1:13" ht="25.5" x14ac:dyDescent="0.2">
      <c r="A532" s="186" t="s">
        <v>516</v>
      </c>
      <c r="B532" s="5" t="s">
        <v>231</v>
      </c>
      <c r="C532" s="124"/>
      <c r="D532" s="118"/>
      <c r="E532" s="119"/>
      <c r="F532" s="119"/>
      <c r="G532" s="119"/>
      <c r="H532" s="8">
        <f t="shared" si="125"/>
        <v>1382387000</v>
      </c>
      <c r="I532" s="8">
        <f t="shared" si="144"/>
        <v>300000000</v>
      </c>
      <c r="J532" s="8">
        <f t="shared" si="144"/>
        <v>582387000</v>
      </c>
      <c r="K532" s="8">
        <f t="shared" si="144"/>
        <v>500000000</v>
      </c>
      <c r="M532" s="52"/>
    </row>
    <row r="533" spans="1:13" ht="25.5" x14ac:dyDescent="0.2">
      <c r="A533" s="186" t="s">
        <v>624</v>
      </c>
      <c r="B533" s="192" t="s">
        <v>249</v>
      </c>
      <c r="C533" s="124"/>
      <c r="D533" s="118"/>
      <c r="E533" s="119"/>
      <c r="F533" s="119"/>
      <c r="G533" s="119"/>
      <c r="H533" s="8">
        <f t="shared" si="125"/>
        <v>435000</v>
      </c>
      <c r="I533" s="8">
        <f t="shared" ref="I533:K536" si="145">I461</f>
        <v>435000</v>
      </c>
      <c r="J533" s="8">
        <f t="shared" si="145"/>
        <v>0</v>
      </c>
      <c r="K533" s="8">
        <f t="shared" si="145"/>
        <v>0</v>
      </c>
      <c r="M533" s="52"/>
    </row>
    <row r="534" spans="1:13" ht="25.5" x14ac:dyDescent="0.2">
      <c r="A534" s="312" t="s">
        <v>345</v>
      </c>
      <c r="B534" s="313" t="s">
        <v>463</v>
      </c>
      <c r="C534" s="124"/>
      <c r="D534" s="118"/>
      <c r="E534" s="119"/>
      <c r="F534" s="119"/>
      <c r="G534" s="119"/>
      <c r="H534" s="8">
        <f t="shared" si="125"/>
        <v>1363357</v>
      </c>
      <c r="I534" s="8">
        <f t="shared" si="145"/>
        <v>192496</v>
      </c>
      <c r="J534" s="8">
        <f t="shared" si="145"/>
        <v>1170861</v>
      </c>
      <c r="K534" s="8">
        <f t="shared" si="145"/>
        <v>0</v>
      </c>
      <c r="M534" s="52"/>
    </row>
    <row r="535" spans="1:13" ht="25.5" x14ac:dyDescent="0.2">
      <c r="A535" s="186" t="s">
        <v>461</v>
      </c>
      <c r="B535" s="192" t="s">
        <v>463</v>
      </c>
      <c r="C535" s="124"/>
      <c r="D535" s="118"/>
      <c r="E535" s="119"/>
      <c r="F535" s="119"/>
      <c r="G535" s="119"/>
      <c r="H535" s="8">
        <f t="shared" si="125"/>
        <v>8098335</v>
      </c>
      <c r="I535" s="8">
        <f t="shared" si="145"/>
        <v>1143422</v>
      </c>
      <c r="J535" s="8">
        <f t="shared" si="145"/>
        <v>6954913</v>
      </c>
      <c r="K535" s="8">
        <f t="shared" si="145"/>
        <v>0</v>
      </c>
      <c r="M535" s="52"/>
    </row>
    <row r="536" spans="1:13" ht="25.5" x14ac:dyDescent="0.2">
      <c r="A536" s="186" t="s">
        <v>462</v>
      </c>
      <c r="B536" s="192" t="s">
        <v>463</v>
      </c>
      <c r="C536" s="124"/>
      <c r="D536" s="118"/>
      <c r="E536" s="119"/>
      <c r="F536" s="119"/>
      <c r="G536" s="119"/>
      <c r="H536" s="8">
        <f t="shared" si="125"/>
        <v>126873900</v>
      </c>
      <c r="I536" s="8">
        <f t="shared" si="145"/>
        <v>17913600</v>
      </c>
      <c r="J536" s="8">
        <f t="shared" si="145"/>
        <v>108960300</v>
      </c>
      <c r="K536" s="8">
        <f t="shared" si="145"/>
        <v>0</v>
      </c>
      <c r="M536" s="52"/>
    </row>
    <row r="537" spans="1:13" ht="25.5" x14ac:dyDescent="0.2">
      <c r="A537" s="186" t="s">
        <v>313</v>
      </c>
      <c r="B537" s="192" t="s">
        <v>307</v>
      </c>
      <c r="C537" s="124"/>
      <c r="D537" s="118"/>
      <c r="E537" s="119"/>
      <c r="F537" s="119"/>
      <c r="G537" s="119"/>
      <c r="H537" s="8">
        <f t="shared" si="125"/>
        <v>1006174.64</v>
      </c>
      <c r="I537" s="8">
        <f>I468</f>
        <v>1006174.64</v>
      </c>
      <c r="J537" s="8">
        <f>J468</f>
        <v>0</v>
      </c>
      <c r="K537" s="8">
        <f>K468</f>
        <v>0</v>
      </c>
      <c r="M537" s="52"/>
    </row>
    <row r="538" spans="1:13" ht="25.5" x14ac:dyDescent="0.2">
      <c r="A538" s="186" t="s">
        <v>370</v>
      </c>
      <c r="B538" s="192" t="s">
        <v>620</v>
      </c>
      <c r="C538" s="124"/>
      <c r="D538" s="118"/>
      <c r="E538" s="119"/>
      <c r="F538" s="119"/>
      <c r="G538" s="119"/>
      <c r="H538" s="8">
        <f t="shared" si="125"/>
        <v>90000</v>
      </c>
      <c r="I538" s="8">
        <f>I472</f>
        <v>90000</v>
      </c>
      <c r="J538" s="8">
        <f t="shared" ref="J538:K541" si="146">J472</f>
        <v>0</v>
      </c>
      <c r="K538" s="8">
        <f t="shared" si="146"/>
        <v>0</v>
      </c>
      <c r="M538" s="52"/>
    </row>
    <row r="539" spans="1:13" ht="25.5" x14ac:dyDescent="0.2">
      <c r="A539" s="186" t="s">
        <v>370</v>
      </c>
      <c r="B539" s="192" t="s">
        <v>318</v>
      </c>
      <c r="C539" s="124"/>
      <c r="D539" s="118"/>
      <c r="E539" s="119"/>
      <c r="F539" s="119"/>
      <c r="G539" s="119"/>
      <c r="H539" s="8">
        <f t="shared" si="125"/>
        <v>14376417.66</v>
      </c>
      <c r="I539" s="8">
        <f>I473</f>
        <v>14376417.66</v>
      </c>
      <c r="J539" s="8">
        <f t="shared" si="146"/>
        <v>0</v>
      </c>
      <c r="K539" s="8">
        <f t="shared" si="146"/>
        <v>0</v>
      </c>
      <c r="M539" s="52"/>
    </row>
    <row r="540" spans="1:13" ht="25.5" x14ac:dyDescent="0.2">
      <c r="A540" s="186" t="s">
        <v>331</v>
      </c>
      <c r="B540" s="192" t="s">
        <v>410</v>
      </c>
      <c r="C540" s="124"/>
      <c r="D540" s="118"/>
      <c r="E540" s="119"/>
      <c r="F540" s="119"/>
      <c r="G540" s="119"/>
      <c r="H540" s="8">
        <f t="shared" si="125"/>
        <v>235070.85999999996</v>
      </c>
      <c r="I540" s="8">
        <f>I474</f>
        <v>235070.85999999996</v>
      </c>
      <c r="J540" s="8">
        <f t="shared" si="146"/>
        <v>0</v>
      </c>
      <c r="K540" s="8">
        <f t="shared" si="146"/>
        <v>0</v>
      </c>
      <c r="M540" s="52"/>
    </row>
    <row r="541" spans="1:13" ht="25.5" x14ac:dyDescent="0.2">
      <c r="A541" s="312" t="s">
        <v>408</v>
      </c>
      <c r="B541" s="313" t="s">
        <v>412</v>
      </c>
      <c r="C541" s="124"/>
      <c r="D541" s="118"/>
      <c r="E541" s="119"/>
      <c r="F541" s="119"/>
      <c r="G541" s="119"/>
      <c r="H541" s="8">
        <f t="shared" si="125"/>
        <v>1237799.2999999989</v>
      </c>
      <c r="I541" s="8">
        <f>I475</f>
        <v>1237799.2999999989</v>
      </c>
      <c r="J541" s="8">
        <f t="shared" si="146"/>
        <v>0</v>
      </c>
      <c r="K541" s="8">
        <f t="shared" si="146"/>
        <v>0</v>
      </c>
      <c r="M541" s="52"/>
    </row>
    <row r="542" spans="1:13" ht="25.5" x14ac:dyDescent="0.2">
      <c r="A542" s="9" t="s">
        <v>5</v>
      </c>
      <c r="B542" s="5" t="s">
        <v>29</v>
      </c>
      <c r="C542" s="124"/>
      <c r="D542" s="118"/>
      <c r="E542" s="119"/>
      <c r="F542" s="119"/>
      <c r="G542" s="119"/>
      <c r="H542" s="8">
        <f t="shared" si="125"/>
        <v>3780905.92</v>
      </c>
      <c r="I542" s="8">
        <f t="shared" ref="I542:K543" si="147">I469</f>
        <v>606060.61</v>
      </c>
      <c r="J542" s="8">
        <f t="shared" si="147"/>
        <v>495549.72</v>
      </c>
      <c r="K542" s="8">
        <f t="shared" si="147"/>
        <v>2679295.59</v>
      </c>
      <c r="M542" s="52"/>
    </row>
    <row r="543" spans="1:13" ht="26.25" thickBot="1" x14ac:dyDescent="0.25">
      <c r="A543" s="16" t="s">
        <v>6</v>
      </c>
      <c r="B543" s="6" t="s">
        <v>29</v>
      </c>
      <c r="C543" s="354"/>
      <c r="D543" s="117"/>
      <c r="E543" s="355"/>
      <c r="F543" s="355"/>
      <c r="G543" s="355"/>
      <c r="H543" s="13">
        <f t="shared" si="125"/>
        <v>374309685.38999999</v>
      </c>
      <c r="I543" s="13">
        <f t="shared" si="147"/>
        <v>60000000</v>
      </c>
      <c r="J543" s="13">
        <f t="shared" si="147"/>
        <v>49059421.789999999</v>
      </c>
      <c r="K543" s="13">
        <f t="shared" si="147"/>
        <v>265250263.59999999</v>
      </c>
      <c r="M543" s="52"/>
    </row>
    <row r="544" spans="1:13" ht="27.75" customHeight="1" thickBot="1" x14ac:dyDescent="0.25">
      <c r="A544" s="502" t="s">
        <v>103</v>
      </c>
      <c r="B544" s="503"/>
      <c r="C544" s="132"/>
      <c r="D544" s="132"/>
      <c r="E544" s="133"/>
      <c r="F544" s="133"/>
      <c r="G544" s="133"/>
      <c r="H544" s="129">
        <f>H476</f>
        <v>6057129192.9200001</v>
      </c>
      <c r="I544" s="129">
        <f>SUM(I545:I611)</f>
        <v>2708906900.1399999</v>
      </c>
      <c r="J544" s="129">
        <f>SUM(J545:J611)</f>
        <v>2403872103.0599999</v>
      </c>
      <c r="K544" s="129">
        <f>SUM(K545:K611)</f>
        <v>944350189.72000003</v>
      </c>
      <c r="L544" s="3">
        <f>I544+J544+K544</f>
        <v>6057129192.9200001</v>
      </c>
      <c r="M544" s="77">
        <f>SUM(H545:H611)</f>
        <v>6057129192.9200001</v>
      </c>
    </row>
    <row r="545" spans="1:13" ht="25.5" x14ac:dyDescent="0.2">
      <c r="A545" s="310" t="s">
        <v>76</v>
      </c>
      <c r="B545" s="95" t="s">
        <v>249</v>
      </c>
      <c r="C545" s="125"/>
      <c r="D545" s="125"/>
      <c r="E545" s="126"/>
      <c r="F545" s="126"/>
      <c r="G545" s="126"/>
      <c r="H545" s="33">
        <f t="shared" ref="H545:H611" si="148">I545+J545+K545</f>
        <v>31456548.880000003</v>
      </c>
      <c r="I545" s="81">
        <f t="shared" ref="I545:K560" si="149">I477</f>
        <v>15094647</v>
      </c>
      <c r="J545" s="81">
        <f t="shared" si="149"/>
        <v>9378630.7400000002</v>
      </c>
      <c r="K545" s="81">
        <f t="shared" si="149"/>
        <v>6983271.1400000006</v>
      </c>
      <c r="L545" s="3"/>
      <c r="M545" s="52"/>
    </row>
    <row r="546" spans="1:13" ht="25.5" x14ac:dyDescent="0.2">
      <c r="A546" s="9" t="s">
        <v>77</v>
      </c>
      <c r="B546" s="5" t="s">
        <v>22</v>
      </c>
      <c r="C546" s="139"/>
      <c r="D546" s="139"/>
      <c r="E546" s="140"/>
      <c r="F546" s="140"/>
      <c r="G546" s="140"/>
      <c r="H546" s="8">
        <f t="shared" si="148"/>
        <v>914683.81</v>
      </c>
      <c r="I546" s="97">
        <f t="shared" si="149"/>
        <v>914683.81</v>
      </c>
      <c r="J546" s="97">
        <f t="shared" si="149"/>
        <v>0</v>
      </c>
      <c r="K546" s="97">
        <f t="shared" si="149"/>
        <v>0</v>
      </c>
      <c r="L546" s="3"/>
      <c r="M546" s="52"/>
    </row>
    <row r="547" spans="1:13" ht="25.5" x14ac:dyDescent="0.2">
      <c r="A547" s="9" t="s">
        <v>78</v>
      </c>
      <c r="B547" s="5" t="s">
        <v>22</v>
      </c>
      <c r="C547" s="157"/>
      <c r="D547" s="157"/>
      <c r="E547" s="158"/>
      <c r="F547" s="158"/>
      <c r="G547" s="158"/>
      <c r="H547" s="8">
        <f t="shared" si="148"/>
        <v>17378992.400000002</v>
      </c>
      <c r="I547" s="87">
        <f t="shared" si="149"/>
        <v>17378992.400000002</v>
      </c>
      <c r="J547" s="87">
        <f t="shared" si="149"/>
        <v>0</v>
      </c>
      <c r="K547" s="87">
        <f t="shared" si="149"/>
        <v>0</v>
      </c>
      <c r="L547" s="3"/>
      <c r="M547" s="52"/>
    </row>
    <row r="548" spans="1:13" ht="25.5" x14ac:dyDescent="0.2">
      <c r="A548" s="9" t="s">
        <v>77</v>
      </c>
      <c r="B548" s="5" t="s">
        <v>182</v>
      </c>
      <c r="C548" s="157"/>
      <c r="D548" s="157"/>
      <c r="E548" s="158"/>
      <c r="F548" s="158"/>
      <c r="G548" s="158"/>
      <c r="H548" s="8">
        <f t="shared" si="148"/>
        <v>1977540.5399999998</v>
      </c>
      <c r="I548" s="87">
        <f t="shared" si="149"/>
        <v>1977540.5399999998</v>
      </c>
      <c r="J548" s="87">
        <f t="shared" si="149"/>
        <v>0</v>
      </c>
      <c r="K548" s="87">
        <f t="shared" si="149"/>
        <v>0</v>
      </c>
      <c r="L548" s="3"/>
      <c r="M548" s="52"/>
    </row>
    <row r="549" spans="1:13" ht="25.5" x14ac:dyDescent="0.2">
      <c r="A549" s="9" t="s">
        <v>78</v>
      </c>
      <c r="B549" s="5" t="s">
        <v>23</v>
      </c>
      <c r="C549" s="157"/>
      <c r="D549" s="157"/>
      <c r="E549" s="158"/>
      <c r="F549" s="158"/>
      <c r="G549" s="158"/>
      <c r="H549" s="8">
        <f t="shared" si="148"/>
        <v>37573270.329999998</v>
      </c>
      <c r="I549" s="87">
        <f t="shared" si="149"/>
        <v>37573270.329999998</v>
      </c>
      <c r="J549" s="87">
        <f t="shared" si="149"/>
        <v>0</v>
      </c>
      <c r="K549" s="87">
        <f t="shared" si="149"/>
        <v>0</v>
      </c>
      <c r="L549" s="3"/>
      <c r="M549" s="52"/>
    </row>
    <row r="550" spans="1:13" ht="25.5" x14ac:dyDescent="0.2">
      <c r="A550" s="186" t="s">
        <v>77</v>
      </c>
      <c r="B550" s="192" t="s">
        <v>338</v>
      </c>
      <c r="C550" s="139"/>
      <c r="D550" s="139"/>
      <c r="E550" s="140"/>
      <c r="F550" s="140"/>
      <c r="G550" s="140"/>
      <c r="H550" s="8">
        <f t="shared" si="148"/>
        <v>111652.06</v>
      </c>
      <c r="I550" s="97">
        <f t="shared" si="149"/>
        <v>111652.06</v>
      </c>
      <c r="J550" s="97">
        <f t="shared" si="149"/>
        <v>0</v>
      </c>
      <c r="K550" s="97">
        <f t="shared" si="149"/>
        <v>0</v>
      </c>
      <c r="L550" s="3"/>
      <c r="M550" s="52"/>
    </row>
    <row r="551" spans="1:13" ht="25.5" x14ac:dyDescent="0.2">
      <c r="A551" s="186" t="s">
        <v>78</v>
      </c>
      <c r="B551" s="192" t="s">
        <v>424</v>
      </c>
      <c r="C551" s="157"/>
      <c r="D551" s="157"/>
      <c r="E551" s="158"/>
      <c r="F551" s="158"/>
      <c r="G551" s="158"/>
      <c r="H551" s="8">
        <f t="shared" si="148"/>
        <v>2121389.15</v>
      </c>
      <c r="I551" s="87">
        <f t="shared" si="149"/>
        <v>2121389.15</v>
      </c>
      <c r="J551" s="87">
        <f t="shared" si="149"/>
        <v>0</v>
      </c>
      <c r="K551" s="87">
        <f t="shared" si="149"/>
        <v>0</v>
      </c>
      <c r="L551" s="3"/>
      <c r="M551" s="52"/>
    </row>
    <row r="552" spans="1:13" ht="25.5" x14ac:dyDescent="0.2">
      <c r="A552" s="186" t="s">
        <v>77</v>
      </c>
      <c r="B552" s="192" t="s">
        <v>339</v>
      </c>
      <c r="C552" s="157"/>
      <c r="D552" s="157"/>
      <c r="E552" s="158"/>
      <c r="F552" s="158"/>
      <c r="G552" s="158"/>
      <c r="H552" s="8">
        <f t="shared" si="148"/>
        <v>138309.56</v>
      </c>
      <c r="I552" s="87">
        <f t="shared" si="149"/>
        <v>138309.56</v>
      </c>
      <c r="J552" s="87">
        <f t="shared" si="149"/>
        <v>0</v>
      </c>
      <c r="K552" s="87">
        <f t="shared" si="149"/>
        <v>0</v>
      </c>
      <c r="L552" s="3"/>
      <c r="M552" s="52"/>
    </row>
    <row r="553" spans="1:13" ht="25.5" x14ac:dyDescent="0.2">
      <c r="A553" s="186" t="s">
        <v>78</v>
      </c>
      <c r="B553" s="192" t="s">
        <v>425</v>
      </c>
      <c r="C553" s="157"/>
      <c r="D553" s="157"/>
      <c r="E553" s="158"/>
      <c r="F553" s="158"/>
      <c r="G553" s="158"/>
      <c r="H553" s="8">
        <f t="shared" si="148"/>
        <v>2627881.62</v>
      </c>
      <c r="I553" s="87">
        <f t="shared" si="149"/>
        <v>2627881.62</v>
      </c>
      <c r="J553" s="87">
        <f t="shared" si="149"/>
        <v>0</v>
      </c>
      <c r="K553" s="87">
        <f t="shared" si="149"/>
        <v>0</v>
      </c>
      <c r="L553" s="3"/>
      <c r="M553" s="52"/>
    </row>
    <row r="554" spans="1:13" ht="25.5" x14ac:dyDescent="0.2">
      <c r="A554" s="186" t="s">
        <v>77</v>
      </c>
      <c r="B554" s="192" t="s">
        <v>340</v>
      </c>
      <c r="C554" s="157"/>
      <c r="D554" s="157"/>
      <c r="E554" s="158"/>
      <c r="F554" s="158"/>
      <c r="G554" s="158"/>
      <c r="H554" s="8">
        <f t="shared" si="148"/>
        <v>175409.88</v>
      </c>
      <c r="I554" s="87">
        <f t="shared" si="149"/>
        <v>175409.88</v>
      </c>
      <c r="J554" s="87">
        <f t="shared" si="149"/>
        <v>0</v>
      </c>
      <c r="K554" s="87">
        <f t="shared" si="149"/>
        <v>0</v>
      </c>
      <c r="L554" s="3"/>
      <c r="M554" s="52"/>
    </row>
    <row r="555" spans="1:13" ht="25.5" x14ac:dyDescent="0.2">
      <c r="A555" s="186" t="s">
        <v>78</v>
      </c>
      <c r="B555" s="192" t="s">
        <v>426</v>
      </c>
      <c r="C555" s="157"/>
      <c r="D555" s="157"/>
      <c r="E555" s="158"/>
      <c r="F555" s="158"/>
      <c r="G555" s="158"/>
      <c r="H555" s="8">
        <f t="shared" si="148"/>
        <v>3332787.77</v>
      </c>
      <c r="I555" s="87">
        <f t="shared" si="149"/>
        <v>3332787.77</v>
      </c>
      <c r="J555" s="87">
        <f t="shared" si="149"/>
        <v>0</v>
      </c>
      <c r="K555" s="87">
        <f t="shared" si="149"/>
        <v>0</v>
      </c>
      <c r="L555" s="3"/>
      <c r="M555" s="52"/>
    </row>
    <row r="556" spans="1:13" ht="25.5" x14ac:dyDescent="0.2">
      <c r="A556" s="186" t="s">
        <v>413</v>
      </c>
      <c r="B556" s="192" t="s">
        <v>427</v>
      </c>
      <c r="C556" s="157"/>
      <c r="D556" s="157"/>
      <c r="E556" s="158"/>
      <c r="F556" s="158"/>
      <c r="G556" s="158"/>
      <c r="H556" s="8">
        <f t="shared" si="148"/>
        <v>1523482.5</v>
      </c>
      <c r="I556" s="87">
        <f t="shared" si="149"/>
        <v>347482.5</v>
      </c>
      <c r="J556" s="87">
        <f t="shared" si="149"/>
        <v>1176000</v>
      </c>
      <c r="K556" s="87">
        <f t="shared" si="149"/>
        <v>0</v>
      </c>
      <c r="L556" s="3"/>
      <c r="M556" s="52"/>
    </row>
    <row r="557" spans="1:13" ht="25.5" x14ac:dyDescent="0.2">
      <c r="A557" s="186" t="s">
        <v>517</v>
      </c>
      <c r="B557" s="192" t="s">
        <v>428</v>
      </c>
      <c r="C557" s="139"/>
      <c r="D557" s="139"/>
      <c r="E557" s="140"/>
      <c r="F557" s="140"/>
      <c r="G557" s="140"/>
      <c r="H557" s="8">
        <f t="shared" si="148"/>
        <v>5370517.5</v>
      </c>
      <c r="I557" s="97">
        <f t="shared" si="149"/>
        <v>1200517.5</v>
      </c>
      <c r="J557" s="97">
        <f t="shared" si="149"/>
        <v>4170000</v>
      </c>
      <c r="K557" s="97">
        <f t="shared" si="149"/>
        <v>0</v>
      </c>
      <c r="L557" s="3"/>
      <c r="M557" s="52"/>
    </row>
    <row r="558" spans="1:13" ht="25.5" x14ac:dyDescent="0.2">
      <c r="A558" s="186" t="s">
        <v>416</v>
      </c>
      <c r="B558" s="192" t="s">
        <v>428</v>
      </c>
      <c r="C558" s="139"/>
      <c r="D558" s="139"/>
      <c r="E558" s="140"/>
      <c r="F558" s="140"/>
      <c r="G558" s="140"/>
      <c r="H558" s="8">
        <f t="shared" si="148"/>
        <v>24929000</v>
      </c>
      <c r="I558" s="97">
        <f t="shared" si="149"/>
        <v>5599000</v>
      </c>
      <c r="J558" s="97">
        <f t="shared" si="149"/>
        <v>19330000</v>
      </c>
      <c r="K558" s="97">
        <f t="shared" si="149"/>
        <v>0</v>
      </c>
      <c r="L558" s="3"/>
      <c r="M558" s="52"/>
    </row>
    <row r="559" spans="1:13" ht="25.5" x14ac:dyDescent="0.2">
      <c r="A559" s="186" t="s">
        <v>413</v>
      </c>
      <c r="B559" s="192" t="s">
        <v>429</v>
      </c>
      <c r="C559" s="139"/>
      <c r="D559" s="139"/>
      <c r="E559" s="140"/>
      <c r="F559" s="140"/>
      <c r="G559" s="140"/>
      <c r="H559" s="8">
        <f t="shared" si="148"/>
        <v>527670.35</v>
      </c>
      <c r="I559" s="97">
        <f t="shared" si="149"/>
        <v>163792.81</v>
      </c>
      <c r="J559" s="97">
        <f t="shared" si="149"/>
        <v>363877.54</v>
      </c>
      <c r="K559" s="97">
        <f t="shared" si="149"/>
        <v>0</v>
      </c>
      <c r="L559" s="3"/>
      <c r="M559" s="52"/>
    </row>
    <row r="560" spans="1:13" ht="25.5" x14ac:dyDescent="0.2">
      <c r="A560" s="186" t="s">
        <v>517</v>
      </c>
      <c r="B560" s="192" t="s">
        <v>429</v>
      </c>
      <c r="C560" s="139"/>
      <c r="D560" s="139"/>
      <c r="E560" s="140"/>
      <c r="F560" s="140"/>
      <c r="G560" s="140"/>
      <c r="H560" s="8">
        <f t="shared" si="148"/>
        <v>1870329.65</v>
      </c>
      <c r="I560" s="97">
        <f t="shared" si="149"/>
        <v>581207.18999999994</v>
      </c>
      <c r="J560" s="97">
        <f t="shared" si="149"/>
        <v>1289122.46</v>
      </c>
      <c r="K560" s="97">
        <f t="shared" si="149"/>
        <v>0</v>
      </c>
      <c r="L560" s="3"/>
      <c r="M560" s="52"/>
    </row>
    <row r="561" spans="1:13" ht="25.5" x14ac:dyDescent="0.2">
      <c r="A561" s="186" t="s">
        <v>416</v>
      </c>
      <c r="B561" s="192" t="s">
        <v>429</v>
      </c>
      <c r="C561" s="157"/>
      <c r="D561" s="157"/>
      <c r="E561" s="158"/>
      <c r="F561" s="158"/>
      <c r="G561" s="158"/>
      <c r="H561" s="8">
        <f t="shared" si="148"/>
        <v>8670000</v>
      </c>
      <c r="I561" s="87">
        <f t="shared" ref="I561:K576" si="150">I493</f>
        <v>2694000</v>
      </c>
      <c r="J561" s="87">
        <f t="shared" si="150"/>
        <v>5976000</v>
      </c>
      <c r="K561" s="87">
        <f t="shared" si="150"/>
        <v>0</v>
      </c>
      <c r="L561" s="3"/>
      <c r="M561" s="52"/>
    </row>
    <row r="562" spans="1:13" ht="25.5" x14ac:dyDescent="0.2">
      <c r="A562" s="186" t="s">
        <v>314</v>
      </c>
      <c r="B562" s="192" t="s">
        <v>306</v>
      </c>
      <c r="C562" s="157"/>
      <c r="D562" s="157"/>
      <c r="E562" s="158"/>
      <c r="F562" s="158"/>
      <c r="G562" s="158"/>
      <c r="H562" s="8">
        <f t="shared" si="148"/>
        <v>1538400</v>
      </c>
      <c r="I562" s="87">
        <f t="shared" si="150"/>
        <v>1538400</v>
      </c>
      <c r="J562" s="87">
        <f t="shared" si="150"/>
        <v>0</v>
      </c>
      <c r="K562" s="87">
        <f t="shared" si="150"/>
        <v>0</v>
      </c>
      <c r="L562" s="3"/>
      <c r="M562" s="52"/>
    </row>
    <row r="563" spans="1:13" ht="25.5" x14ac:dyDescent="0.2">
      <c r="A563" s="186" t="s">
        <v>314</v>
      </c>
      <c r="B563" s="192" t="s">
        <v>607</v>
      </c>
      <c r="C563" s="139"/>
      <c r="D563" s="139"/>
      <c r="E563" s="140"/>
      <c r="F563" s="140"/>
      <c r="G563" s="140"/>
      <c r="H563" s="8">
        <f t="shared" si="148"/>
        <v>686169</v>
      </c>
      <c r="I563" s="97">
        <f t="shared" si="150"/>
        <v>686169</v>
      </c>
      <c r="J563" s="97">
        <f t="shared" si="150"/>
        <v>0</v>
      </c>
      <c r="K563" s="97">
        <f t="shared" si="150"/>
        <v>0</v>
      </c>
      <c r="L563" s="3"/>
      <c r="M563" s="52"/>
    </row>
    <row r="564" spans="1:13" ht="25.5" x14ac:dyDescent="0.2">
      <c r="A564" s="186" t="s">
        <v>337</v>
      </c>
      <c r="B564" s="192" t="s">
        <v>490</v>
      </c>
      <c r="C564" s="139"/>
      <c r="D564" s="139"/>
      <c r="E564" s="140"/>
      <c r="F564" s="140"/>
      <c r="G564" s="140"/>
      <c r="H564" s="8">
        <f t="shared" si="148"/>
        <v>35891.74</v>
      </c>
      <c r="I564" s="97">
        <f t="shared" si="150"/>
        <v>35891.74</v>
      </c>
      <c r="J564" s="97">
        <f t="shared" si="150"/>
        <v>0</v>
      </c>
      <c r="K564" s="97">
        <f t="shared" si="150"/>
        <v>0</v>
      </c>
      <c r="L564" s="3"/>
      <c r="M564" s="52"/>
    </row>
    <row r="565" spans="1:13" ht="25.5" x14ac:dyDescent="0.2">
      <c r="A565" s="186" t="s">
        <v>81</v>
      </c>
      <c r="B565" s="192" t="s">
        <v>341</v>
      </c>
      <c r="C565" s="157"/>
      <c r="D565" s="157"/>
      <c r="E565" s="158"/>
      <c r="F565" s="158"/>
      <c r="G565" s="158"/>
      <c r="H565" s="8">
        <f t="shared" si="148"/>
        <v>7898.4399999999978</v>
      </c>
      <c r="I565" s="87">
        <f t="shared" si="150"/>
        <v>7898.4399999999978</v>
      </c>
      <c r="J565" s="87">
        <f t="shared" si="150"/>
        <v>0</v>
      </c>
      <c r="K565" s="87">
        <f t="shared" si="150"/>
        <v>0</v>
      </c>
      <c r="L565" s="3"/>
      <c r="M565" s="52"/>
    </row>
    <row r="566" spans="1:13" ht="25.5" x14ac:dyDescent="0.2">
      <c r="A566" s="186" t="s">
        <v>445</v>
      </c>
      <c r="B566" s="192" t="s">
        <v>341</v>
      </c>
      <c r="C566" s="157"/>
      <c r="D566" s="157"/>
      <c r="E566" s="158"/>
      <c r="F566" s="158"/>
      <c r="G566" s="158"/>
      <c r="H566" s="8">
        <f t="shared" si="148"/>
        <v>0</v>
      </c>
      <c r="I566" s="87">
        <f t="shared" si="150"/>
        <v>0</v>
      </c>
      <c r="J566" s="87">
        <f t="shared" si="150"/>
        <v>0</v>
      </c>
      <c r="K566" s="87">
        <f t="shared" si="150"/>
        <v>0</v>
      </c>
      <c r="L566" s="3"/>
      <c r="M566" s="52"/>
    </row>
    <row r="567" spans="1:13" ht="25.5" x14ac:dyDescent="0.2">
      <c r="A567" s="186" t="s">
        <v>81</v>
      </c>
      <c r="B567" s="192" t="s">
        <v>499</v>
      </c>
      <c r="C567" s="139"/>
      <c r="D567" s="139"/>
      <c r="E567" s="140"/>
      <c r="F567" s="140"/>
      <c r="G567" s="140"/>
      <c r="H567" s="8">
        <f t="shared" si="148"/>
        <v>38032.85</v>
      </c>
      <c r="I567" s="97">
        <f t="shared" si="150"/>
        <v>38032.85</v>
      </c>
      <c r="J567" s="97">
        <f t="shared" si="150"/>
        <v>0</v>
      </c>
      <c r="K567" s="97">
        <f t="shared" si="150"/>
        <v>0</v>
      </c>
      <c r="L567" s="3"/>
      <c r="M567" s="52"/>
    </row>
    <row r="568" spans="1:13" ht="25.5" x14ac:dyDescent="0.2">
      <c r="A568" s="186" t="s">
        <v>445</v>
      </c>
      <c r="B568" s="192" t="s">
        <v>500</v>
      </c>
      <c r="C568" s="157"/>
      <c r="D568" s="157"/>
      <c r="E568" s="158"/>
      <c r="F568" s="158"/>
      <c r="G568" s="158"/>
      <c r="H568" s="8">
        <f t="shared" si="148"/>
        <v>37652.53</v>
      </c>
      <c r="I568" s="87">
        <f t="shared" si="150"/>
        <v>37652.53</v>
      </c>
      <c r="J568" s="87">
        <f t="shared" si="150"/>
        <v>0</v>
      </c>
      <c r="K568" s="87">
        <f t="shared" si="150"/>
        <v>0</v>
      </c>
      <c r="L568" s="3"/>
      <c r="M568" s="52"/>
    </row>
    <row r="569" spans="1:13" ht="25.5" x14ac:dyDescent="0.2">
      <c r="A569" s="186" t="s">
        <v>448</v>
      </c>
      <c r="B569" s="192" t="s">
        <v>500</v>
      </c>
      <c r="C569" s="157"/>
      <c r="D569" s="157"/>
      <c r="E569" s="158"/>
      <c r="F569" s="158"/>
      <c r="G569" s="158"/>
      <c r="H569" s="8">
        <f t="shared" si="148"/>
        <v>3727600</v>
      </c>
      <c r="I569" s="87">
        <f t="shared" si="150"/>
        <v>3727600</v>
      </c>
      <c r="J569" s="87">
        <f t="shared" si="150"/>
        <v>0</v>
      </c>
      <c r="K569" s="87">
        <f t="shared" si="150"/>
        <v>0</v>
      </c>
      <c r="L569" s="3"/>
      <c r="M569" s="52"/>
    </row>
    <row r="570" spans="1:13" ht="25.5" x14ac:dyDescent="0.2">
      <c r="A570" s="186" t="s">
        <v>81</v>
      </c>
      <c r="B570" s="192" t="s">
        <v>342</v>
      </c>
      <c r="C570" s="157"/>
      <c r="D570" s="157"/>
      <c r="E570" s="158"/>
      <c r="F570" s="158"/>
      <c r="G570" s="158"/>
      <c r="H570" s="8">
        <f t="shared" si="148"/>
        <v>4809.1899999999978</v>
      </c>
      <c r="I570" s="87">
        <f t="shared" si="150"/>
        <v>4809.1899999999978</v>
      </c>
      <c r="J570" s="87">
        <f t="shared" si="150"/>
        <v>0</v>
      </c>
      <c r="K570" s="87">
        <f t="shared" si="150"/>
        <v>0</v>
      </c>
      <c r="L570" s="3"/>
      <c r="M570" s="52"/>
    </row>
    <row r="571" spans="1:13" ht="25.5" x14ac:dyDescent="0.2">
      <c r="A571" s="186" t="s">
        <v>445</v>
      </c>
      <c r="B571" s="192" t="s">
        <v>450</v>
      </c>
      <c r="C571" s="139"/>
      <c r="D571" s="139"/>
      <c r="E571" s="140"/>
      <c r="F571" s="140"/>
      <c r="G571" s="140"/>
      <c r="H571" s="8">
        <f t="shared" si="148"/>
        <v>97596.729999999981</v>
      </c>
      <c r="I571" s="97">
        <f t="shared" si="150"/>
        <v>97596.729999999981</v>
      </c>
      <c r="J571" s="97">
        <f t="shared" si="150"/>
        <v>0</v>
      </c>
      <c r="K571" s="97">
        <f t="shared" si="150"/>
        <v>0</v>
      </c>
      <c r="L571" s="3"/>
      <c r="M571" s="52"/>
    </row>
    <row r="572" spans="1:13" ht="25.5" x14ac:dyDescent="0.2">
      <c r="A572" s="186" t="s">
        <v>81</v>
      </c>
      <c r="B572" s="192" t="s">
        <v>501</v>
      </c>
      <c r="C572" s="157"/>
      <c r="D572" s="157"/>
      <c r="E572" s="158"/>
      <c r="F572" s="158"/>
      <c r="G572" s="158"/>
      <c r="H572" s="8">
        <f t="shared" si="148"/>
        <v>27846.14</v>
      </c>
      <c r="I572" s="87">
        <f t="shared" si="150"/>
        <v>27846.14</v>
      </c>
      <c r="J572" s="87">
        <f t="shared" si="150"/>
        <v>0</v>
      </c>
      <c r="K572" s="87">
        <f t="shared" si="150"/>
        <v>0</v>
      </c>
      <c r="L572" s="3"/>
      <c r="M572" s="52"/>
    </row>
    <row r="573" spans="1:13" ht="25.5" x14ac:dyDescent="0.2">
      <c r="A573" s="186" t="s">
        <v>445</v>
      </c>
      <c r="B573" s="192" t="s">
        <v>502</v>
      </c>
      <c r="C573" s="139"/>
      <c r="D573" s="139"/>
      <c r="E573" s="140"/>
      <c r="F573" s="140"/>
      <c r="G573" s="140"/>
      <c r="H573" s="8">
        <f t="shared" si="148"/>
        <v>27567.68</v>
      </c>
      <c r="I573" s="97">
        <f t="shared" si="150"/>
        <v>27567.68</v>
      </c>
      <c r="J573" s="97">
        <f t="shared" si="150"/>
        <v>0</v>
      </c>
      <c r="K573" s="97">
        <f t="shared" si="150"/>
        <v>0</v>
      </c>
      <c r="L573" s="3"/>
      <c r="M573" s="52"/>
    </row>
    <row r="574" spans="1:13" ht="25.5" x14ac:dyDescent="0.2">
      <c r="A574" s="186" t="s">
        <v>448</v>
      </c>
      <c r="B574" s="192" t="s">
        <v>501</v>
      </c>
      <c r="C574" s="139"/>
      <c r="D574" s="139"/>
      <c r="E574" s="140"/>
      <c r="F574" s="140"/>
      <c r="G574" s="140"/>
      <c r="H574" s="8">
        <f t="shared" si="148"/>
        <v>2729200</v>
      </c>
      <c r="I574" s="97">
        <f t="shared" si="150"/>
        <v>2729200</v>
      </c>
      <c r="J574" s="97">
        <f t="shared" si="150"/>
        <v>0</v>
      </c>
      <c r="K574" s="97">
        <f t="shared" si="150"/>
        <v>0</v>
      </c>
      <c r="L574" s="3"/>
      <c r="M574" s="52"/>
    </row>
    <row r="575" spans="1:13" ht="25.5" x14ac:dyDescent="0.2">
      <c r="A575" s="9" t="s">
        <v>81</v>
      </c>
      <c r="B575" s="5" t="s">
        <v>24</v>
      </c>
      <c r="C575" s="157"/>
      <c r="D575" s="157"/>
      <c r="E575" s="158"/>
      <c r="F575" s="158"/>
      <c r="G575" s="158"/>
      <c r="H575" s="8">
        <f t="shared" si="148"/>
        <v>100000</v>
      </c>
      <c r="I575" s="87">
        <f t="shared" si="150"/>
        <v>0</v>
      </c>
      <c r="J575" s="87">
        <f t="shared" si="150"/>
        <v>100000</v>
      </c>
      <c r="K575" s="87">
        <f t="shared" si="150"/>
        <v>0</v>
      </c>
      <c r="L575" s="3"/>
      <c r="M575" s="52"/>
    </row>
    <row r="576" spans="1:13" ht="25.5" x14ac:dyDescent="0.2">
      <c r="A576" s="9" t="s">
        <v>82</v>
      </c>
      <c r="B576" s="5" t="s">
        <v>25</v>
      </c>
      <c r="C576" s="157"/>
      <c r="D576" s="157"/>
      <c r="E576" s="158"/>
      <c r="F576" s="158"/>
      <c r="G576" s="158"/>
      <c r="H576" s="8">
        <f t="shared" si="148"/>
        <v>9900000</v>
      </c>
      <c r="I576" s="87">
        <f t="shared" si="150"/>
        <v>0</v>
      </c>
      <c r="J576" s="87">
        <f t="shared" si="150"/>
        <v>9900000</v>
      </c>
      <c r="K576" s="87">
        <f t="shared" si="150"/>
        <v>0</v>
      </c>
      <c r="L576" s="3"/>
      <c r="M576" s="52"/>
    </row>
    <row r="577" spans="1:13" ht="25.5" x14ac:dyDescent="0.2">
      <c r="A577" s="9" t="s">
        <v>81</v>
      </c>
      <c r="B577" s="5" t="s">
        <v>27</v>
      </c>
      <c r="C577" s="157"/>
      <c r="D577" s="157"/>
      <c r="E577" s="158"/>
      <c r="F577" s="158"/>
      <c r="G577" s="158"/>
      <c r="H577" s="8">
        <f t="shared" si="148"/>
        <v>100000</v>
      </c>
      <c r="I577" s="87">
        <f t="shared" ref="I577:K592" si="151">I509</f>
        <v>0</v>
      </c>
      <c r="J577" s="87">
        <f t="shared" si="151"/>
        <v>100000</v>
      </c>
      <c r="K577" s="87">
        <f t="shared" si="151"/>
        <v>0</v>
      </c>
      <c r="L577" s="3"/>
      <c r="M577" s="52"/>
    </row>
    <row r="578" spans="1:13" ht="25.5" x14ac:dyDescent="0.2">
      <c r="A578" s="9" t="s">
        <v>82</v>
      </c>
      <c r="B578" s="5" t="s">
        <v>26</v>
      </c>
      <c r="C578" s="157"/>
      <c r="D578" s="157"/>
      <c r="E578" s="158"/>
      <c r="F578" s="158"/>
      <c r="G578" s="158"/>
      <c r="H578" s="8">
        <f t="shared" si="148"/>
        <v>9900000</v>
      </c>
      <c r="I578" s="87">
        <f t="shared" si="151"/>
        <v>0</v>
      </c>
      <c r="J578" s="87">
        <f t="shared" si="151"/>
        <v>9900000</v>
      </c>
      <c r="K578" s="87">
        <f t="shared" si="151"/>
        <v>0</v>
      </c>
      <c r="L578" s="3"/>
      <c r="M578" s="52"/>
    </row>
    <row r="579" spans="1:13" ht="25.5" x14ac:dyDescent="0.2">
      <c r="A579" s="9" t="s">
        <v>81</v>
      </c>
      <c r="B579" s="5" t="s">
        <v>183</v>
      </c>
      <c r="C579" s="157"/>
      <c r="D579" s="157"/>
      <c r="E579" s="158"/>
      <c r="F579" s="158"/>
      <c r="G579" s="158"/>
      <c r="H579" s="8">
        <f t="shared" si="148"/>
        <v>120000</v>
      </c>
      <c r="I579" s="87">
        <f t="shared" si="151"/>
        <v>0</v>
      </c>
      <c r="J579" s="87">
        <f t="shared" si="151"/>
        <v>120000</v>
      </c>
      <c r="K579" s="87">
        <f t="shared" si="151"/>
        <v>0</v>
      </c>
      <c r="L579" s="3"/>
      <c r="M579" s="52"/>
    </row>
    <row r="580" spans="1:13" ht="25.5" x14ac:dyDescent="0.2">
      <c r="A580" s="9" t="s">
        <v>82</v>
      </c>
      <c r="B580" s="5" t="s">
        <v>28</v>
      </c>
      <c r="C580" s="157"/>
      <c r="D580" s="157"/>
      <c r="E580" s="158"/>
      <c r="F580" s="158"/>
      <c r="G580" s="158"/>
      <c r="H580" s="8">
        <f t="shared" si="148"/>
        <v>11880000</v>
      </c>
      <c r="I580" s="87">
        <f t="shared" si="151"/>
        <v>0</v>
      </c>
      <c r="J580" s="87">
        <f t="shared" si="151"/>
        <v>11880000</v>
      </c>
      <c r="K580" s="87">
        <f t="shared" si="151"/>
        <v>0</v>
      </c>
      <c r="L580" s="3"/>
      <c r="M580" s="52"/>
    </row>
    <row r="581" spans="1:13" ht="25.5" x14ac:dyDescent="0.2">
      <c r="A581" s="186" t="s">
        <v>558</v>
      </c>
      <c r="B581" s="192" t="s">
        <v>569</v>
      </c>
      <c r="C581" s="83"/>
      <c r="D581" s="83"/>
      <c r="E581" s="84"/>
      <c r="F581" s="84"/>
      <c r="G581" s="84"/>
      <c r="H581" s="8">
        <f t="shared" si="148"/>
        <v>3434343.43</v>
      </c>
      <c r="I581" s="87">
        <f t="shared" si="151"/>
        <v>3434343.43</v>
      </c>
      <c r="J581" s="87">
        <f t="shared" si="151"/>
        <v>0</v>
      </c>
      <c r="K581" s="87">
        <f t="shared" si="151"/>
        <v>0</v>
      </c>
      <c r="L581" s="3"/>
      <c r="M581" s="52"/>
    </row>
    <row r="582" spans="1:13" ht="25.5" x14ac:dyDescent="0.2">
      <c r="A582" s="186" t="s">
        <v>557</v>
      </c>
      <c r="B582" s="192" t="s">
        <v>570</v>
      </c>
      <c r="C582" s="83"/>
      <c r="D582" s="83"/>
      <c r="E582" s="84"/>
      <c r="F582" s="84"/>
      <c r="G582" s="84"/>
      <c r="H582" s="8">
        <f t="shared" si="148"/>
        <v>340000000</v>
      </c>
      <c r="I582" s="87">
        <f t="shared" si="151"/>
        <v>340000000</v>
      </c>
      <c r="J582" s="87">
        <f t="shared" si="151"/>
        <v>0</v>
      </c>
      <c r="K582" s="87">
        <f t="shared" si="151"/>
        <v>0</v>
      </c>
      <c r="L582" s="3"/>
      <c r="M582" s="52"/>
    </row>
    <row r="583" spans="1:13" ht="25.5" x14ac:dyDescent="0.2">
      <c r="A583" s="9" t="s">
        <v>65</v>
      </c>
      <c r="B583" s="95" t="s">
        <v>249</v>
      </c>
      <c r="C583" s="83"/>
      <c r="D583" s="83"/>
      <c r="E583" s="84"/>
      <c r="F583" s="84"/>
      <c r="G583" s="84"/>
      <c r="H583" s="8">
        <f t="shared" si="148"/>
        <v>5132300</v>
      </c>
      <c r="I583" s="87">
        <f t="shared" si="151"/>
        <v>5132300</v>
      </c>
      <c r="J583" s="87">
        <f t="shared" si="151"/>
        <v>0</v>
      </c>
      <c r="K583" s="87">
        <f t="shared" si="151"/>
        <v>0</v>
      </c>
      <c r="L583" s="3"/>
      <c r="M583" s="52"/>
    </row>
    <row r="584" spans="1:13" ht="25.5" x14ac:dyDescent="0.2">
      <c r="A584" s="186" t="s">
        <v>159</v>
      </c>
      <c r="B584" s="192" t="s">
        <v>225</v>
      </c>
      <c r="C584" s="83"/>
      <c r="D584" s="83"/>
      <c r="E584" s="84"/>
      <c r="F584" s="84"/>
      <c r="G584" s="84"/>
      <c r="H584" s="8">
        <f t="shared" si="148"/>
        <v>10850423.439999999</v>
      </c>
      <c r="I584" s="87">
        <f t="shared" si="151"/>
        <v>4148078.77</v>
      </c>
      <c r="J584" s="87">
        <f t="shared" si="151"/>
        <v>6702344.6699999999</v>
      </c>
      <c r="K584" s="87">
        <f t="shared" si="151"/>
        <v>0</v>
      </c>
      <c r="L584" s="3"/>
      <c r="M584" s="52"/>
    </row>
    <row r="585" spans="1:13" ht="25.5" x14ac:dyDescent="0.2">
      <c r="A585" s="186" t="s">
        <v>132</v>
      </c>
      <c r="B585" s="192" t="s">
        <v>225</v>
      </c>
      <c r="C585" s="83"/>
      <c r="D585" s="83"/>
      <c r="E585" s="84"/>
      <c r="F585" s="84"/>
      <c r="G585" s="84"/>
      <c r="H585" s="8">
        <f t="shared" si="148"/>
        <v>10741920</v>
      </c>
      <c r="I585" s="87">
        <f t="shared" si="151"/>
        <v>4106598</v>
      </c>
      <c r="J585" s="87">
        <f t="shared" si="151"/>
        <v>6635322</v>
      </c>
      <c r="K585" s="87">
        <f t="shared" si="151"/>
        <v>0</v>
      </c>
      <c r="L585" s="3"/>
      <c r="M585" s="52"/>
    </row>
    <row r="586" spans="1:13" ht="25.5" x14ac:dyDescent="0.2">
      <c r="A586" s="186" t="s">
        <v>184</v>
      </c>
      <c r="B586" s="192" t="s">
        <v>225</v>
      </c>
      <c r="C586" s="83"/>
      <c r="D586" s="83"/>
      <c r="E586" s="84"/>
      <c r="F586" s="84"/>
      <c r="G586" s="84"/>
      <c r="H586" s="8">
        <f t="shared" si="148"/>
        <v>1063450000</v>
      </c>
      <c r="I586" s="87">
        <f t="shared" si="151"/>
        <v>406553200</v>
      </c>
      <c r="J586" s="87">
        <f t="shared" si="151"/>
        <v>656896800</v>
      </c>
      <c r="K586" s="87">
        <f t="shared" si="151"/>
        <v>0</v>
      </c>
      <c r="L586" s="3"/>
      <c r="M586" s="52"/>
    </row>
    <row r="587" spans="1:13" ht="25.5" x14ac:dyDescent="0.2">
      <c r="A587" s="186" t="s">
        <v>123</v>
      </c>
      <c r="B587" s="5" t="s">
        <v>223</v>
      </c>
      <c r="C587" s="83"/>
      <c r="D587" s="83"/>
      <c r="E587" s="84"/>
      <c r="F587" s="84"/>
      <c r="G587" s="84"/>
      <c r="H587" s="8">
        <f t="shared" si="148"/>
        <v>9391885.879999999</v>
      </c>
      <c r="I587" s="87">
        <f t="shared" si="151"/>
        <v>3662106.17</v>
      </c>
      <c r="J587" s="87">
        <f t="shared" si="151"/>
        <v>5729779.71</v>
      </c>
      <c r="K587" s="87">
        <f t="shared" si="151"/>
        <v>0</v>
      </c>
      <c r="L587" s="3"/>
      <c r="M587" s="52"/>
    </row>
    <row r="588" spans="1:13" ht="25.5" x14ac:dyDescent="0.2">
      <c r="A588" s="186" t="s">
        <v>120</v>
      </c>
      <c r="B588" s="5" t="s">
        <v>223</v>
      </c>
      <c r="C588" s="83"/>
      <c r="D588" s="83"/>
      <c r="E588" s="84"/>
      <c r="F588" s="84"/>
      <c r="G588" s="84"/>
      <c r="H588" s="8">
        <f t="shared" si="148"/>
        <v>55787802.130000003</v>
      </c>
      <c r="I588" s="87">
        <f t="shared" si="151"/>
        <v>21752910.640000001</v>
      </c>
      <c r="J588" s="87">
        <f t="shared" si="151"/>
        <v>34034891.490000002</v>
      </c>
      <c r="K588" s="87">
        <f t="shared" si="151"/>
        <v>0</v>
      </c>
      <c r="L588" s="3"/>
      <c r="M588" s="52"/>
    </row>
    <row r="589" spans="1:13" ht="25.5" x14ac:dyDescent="0.2">
      <c r="A589" s="186" t="s">
        <v>121</v>
      </c>
      <c r="B589" s="5" t="s">
        <v>223</v>
      </c>
      <c r="C589" s="83"/>
      <c r="D589" s="83"/>
      <c r="E589" s="84"/>
      <c r="F589" s="84"/>
      <c r="G589" s="84"/>
      <c r="H589" s="8">
        <f t="shared" si="148"/>
        <v>874008900</v>
      </c>
      <c r="I589" s="87">
        <f t="shared" si="151"/>
        <v>340795600</v>
      </c>
      <c r="J589" s="87">
        <f t="shared" si="151"/>
        <v>533213300</v>
      </c>
      <c r="K589" s="87">
        <f t="shared" si="151"/>
        <v>0</v>
      </c>
      <c r="L589" s="3"/>
      <c r="M589" s="52"/>
    </row>
    <row r="590" spans="1:13" ht="25.5" x14ac:dyDescent="0.2">
      <c r="A590" s="186" t="s">
        <v>159</v>
      </c>
      <c r="B590" s="192" t="s">
        <v>347</v>
      </c>
      <c r="C590" s="83"/>
      <c r="D590" s="83"/>
      <c r="E590" s="84"/>
      <c r="F590" s="84"/>
      <c r="G590" s="84"/>
      <c r="H590" s="8">
        <f t="shared" si="148"/>
        <v>3649576.5700000003</v>
      </c>
      <c r="I590" s="87">
        <f t="shared" si="151"/>
        <v>3649576.5700000003</v>
      </c>
      <c r="J590" s="87">
        <f t="shared" si="151"/>
        <v>0</v>
      </c>
      <c r="K590" s="87">
        <f t="shared" si="151"/>
        <v>0</v>
      </c>
      <c r="L590" s="3"/>
      <c r="M590" s="52"/>
    </row>
    <row r="591" spans="1:13" ht="25.5" x14ac:dyDescent="0.2">
      <c r="A591" s="186" t="s">
        <v>132</v>
      </c>
      <c r="B591" s="192" t="s">
        <v>458</v>
      </c>
      <c r="C591" s="83"/>
      <c r="D591" s="83"/>
      <c r="E591" s="84"/>
      <c r="F591" s="84"/>
      <c r="G591" s="84"/>
      <c r="H591" s="8">
        <f t="shared" si="148"/>
        <v>361308080</v>
      </c>
      <c r="I591" s="87">
        <f t="shared" si="151"/>
        <v>361308080</v>
      </c>
      <c r="J591" s="87">
        <f t="shared" si="151"/>
        <v>0</v>
      </c>
      <c r="K591" s="87">
        <f t="shared" si="151"/>
        <v>0</v>
      </c>
      <c r="L591" s="3"/>
      <c r="M591" s="52"/>
    </row>
    <row r="592" spans="1:13" ht="25.5" x14ac:dyDescent="0.2">
      <c r="A592" s="186" t="s">
        <v>123</v>
      </c>
      <c r="B592" s="192" t="s">
        <v>348</v>
      </c>
      <c r="C592" s="83"/>
      <c r="D592" s="83"/>
      <c r="E592" s="84"/>
      <c r="F592" s="84"/>
      <c r="G592" s="84"/>
      <c r="H592" s="8">
        <f t="shared" si="148"/>
        <v>5108114.12</v>
      </c>
      <c r="I592" s="87">
        <f t="shared" si="151"/>
        <v>5108114.12</v>
      </c>
      <c r="J592" s="87">
        <f t="shared" si="151"/>
        <v>0</v>
      </c>
      <c r="K592" s="87">
        <f t="shared" si="151"/>
        <v>0</v>
      </c>
      <c r="L592" s="3"/>
      <c r="M592" s="52"/>
    </row>
    <row r="593" spans="1:13" ht="25.5" x14ac:dyDescent="0.2">
      <c r="A593" s="186" t="s">
        <v>459</v>
      </c>
      <c r="B593" s="192" t="s">
        <v>460</v>
      </c>
      <c r="C593" s="83"/>
      <c r="D593" s="83"/>
      <c r="E593" s="84"/>
      <c r="F593" s="84"/>
      <c r="G593" s="84"/>
      <c r="H593" s="8">
        <f t="shared" si="148"/>
        <v>505703297.87</v>
      </c>
      <c r="I593" s="87">
        <f t="shared" ref="I593:K608" si="152">I525</f>
        <v>505703297.87</v>
      </c>
      <c r="J593" s="87">
        <f t="shared" si="152"/>
        <v>0</v>
      </c>
      <c r="K593" s="87">
        <f t="shared" si="152"/>
        <v>0</v>
      </c>
      <c r="L593" s="3"/>
      <c r="M593" s="52"/>
    </row>
    <row r="594" spans="1:13" ht="25.5" x14ac:dyDescent="0.2">
      <c r="A594" s="186" t="s">
        <v>346</v>
      </c>
      <c r="B594" s="192" t="s">
        <v>349</v>
      </c>
      <c r="C594" s="83"/>
      <c r="D594" s="83"/>
      <c r="E594" s="84"/>
      <c r="F594" s="84"/>
      <c r="G594" s="84"/>
      <c r="H594" s="8">
        <f t="shared" si="148"/>
        <v>15703327.770000001</v>
      </c>
      <c r="I594" s="87">
        <f t="shared" si="152"/>
        <v>8157894.7400000002</v>
      </c>
      <c r="J594" s="87">
        <f t="shared" si="152"/>
        <v>7545433.0300000012</v>
      </c>
      <c r="K594" s="87">
        <f t="shared" si="152"/>
        <v>0</v>
      </c>
      <c r="L594" s="3"/>
      <c r="M594" s="52"/>
    </row>
    <row r="595" spans="1:13" ht="25.5" x14ac:dyDescent="0.2">
      <c r="A595" s="186" t="s">
        <v>455</v>
      </c>
      <c r="B595" s="192" t="s">
        <v>456</v>
      </c>
      <c r="C595" s="83"/>
      <c r="D595" s="83"/>
      <c r="E595" s="84"/>
      <c r="F595" s="84"/>
      <c r="G595" s="84"/>
      <c r="H595" s="8">
        <f t="shared" si="148"/>
        <v>298363227.62</v>
      </c>
      <c r="I595" s="87">
        <f t="shared" si="152"/>
        <v>155000000</v>
      </c>
      <c r="J595" s="87">
        <f t="shared" si="152"/>
        <v>143363227.62</v>
      </c>
      <c r="K595" s="87">
        <f t="shared" si="152"/>
        <v>0</v>
      </c>
      <c r="L595" s="3"/>
      <c r="M595" s="52"/>
    </row>
    <row r="596" spans="1:13" ht="25.5" x14ac:dyDescent="0.2">
      <c r="A596" s="186" t="s">
        <v>65</v>
      </c>
      <c r="B596" s="192" t="s">
        <v>330</v>
      </c>
      <c r="C596" s="83"/>
      <c r="D596" s="83"/>
      <c r="E596" s="84"/>
      <c r="F596" s="84"/>
      <c r="G596" s="84"/>
      <c r="H596" s="8">
        <f t="shared" si="148"/>
        <v>39137227.310000002</v>
      </c>
      <c r="I596" s="87">
        <f t="shared" si="152"/>
        <v>39137227.310000002</v>
      </c>
      <c r="J596" s="87">
        <f t="shared" si="152"/>
        <v>0</v>
      </c>
      <c r="K596" s="87">
        <f t="shared" si="152"/>
        <v>0</v>
      </c>
      <c r="L596" s="3"/>
      <c r="M596" s="52"/>
    </row>
    <row r="597" spans="1:13" ht="25.5" x14ac:dyDescent="0.2">
      <c r="A597" s="186" t="s">
        <v>513</v>
      </c>
      <c r="B597" s="5" t="s">
        <v>143</v>
      </c>
      <c r="C597" s="83"/>
      <c r="D597" s="83"/>
      <c r="E597" s="84"/>
      <c r="F597" s="84"/>
      <c r="G597" s="84"/>
      <c r="H597" s="8">
        <f t="shared" si="148"/>
        <v>3601151.52</v>
      </c>
      <c r="I597" s="87">
        <f t="shared" si="152"/>
        <v>0</v>
      </c>
      <c r="J597" s="87">
        <f t="shared" si="152"/>
        <v>1800575.76</v>
      </c>
      <c r="K597" s="87">
        <f t="shared" si="152"/>
        <v>1800575.76</v>
      </c>
      <c r="L597" s="3"/>
      <c r="M597" s="52"/>
    </row>
    <row r="598" spans="1:13" ht="25.5" x14ac:dyDescent="0.2">
      <c r="A598" s="186" t="s">
        <v>513</v>
      </c>
      <c r="B598" s="5" t="s">
        <v>231</v>
      </c>
      <c r="C598" s="83"/>
      <c r="D598" s="83"/>
      <c r="E598" s="84"/>
      <c r="F598" s="84"/>
      <c r="G598" s="84"/>
      <c r="H598" s="8">
        <f t="shared" si="148"/>
        <v>16993808.089999996</v>
      </c>
      <c r="I598" s="87">
        <f t="shared" si="152"/>
        <v>3030303.03</v>
      </c>
      <c r="J598" s="87">
        <f t="shared" si="152"/>
        <v>6981752.5299999993</v>
      </c>
      <c r="K598" s="87">
        <f t="shared" si="152"/>
        <v>6981752.5299999993</v>
      </c>
      <c r="L598" s="3"/>
      <c r="M598" s="52"/>
    </row>
    <row r="599" spans="1:13" ht="25.5" x14ac:dyDescent="0.2">
      <c r="A599" s="186" t="s">
        <v>140</v>
      </c>
      <c r="B599" s="5" t="s">
        <v>142</v>
      </c>
      <c r="C599" s="83"/>
      <c r="D599" s="83"/>
      <c r="E599" s="84"/>
      <c r="F599" s="84"/>
      <c r="G599" s="84"/>
      <c r="H599" s="8">
        <f t="shared" si="148"/>
        <v>338912031.10000002</v>
      </c>
      <c r="I599" s="87">
        <f t="shared" si="152"/>
        <v>0</v>
      </c>
      <c r="J599" s="87">
        <f t="shared" si="152"/>
        <v>178257000</v>
      </c>
      <c r="K599" s="87">
        <f t="shared" si="152"/>
        <v>160655031.09999999</v>
      </c>
      <c r="L599" s="3"/>
      <c r="M599" s="52"/>
    </row>
    <row r="600" spans="1:13" ht="25.5" x14ac:dyDescent="0.2">
      <c r="A600" s="186" t="s">
        <v>516</v>
      </c>
      <c r="B600" s="5" t="s">
        <v>232</v>
      </c>
      <c r="C600" s="118"/>
      <c r="D600" s="118"/>
      <c r="E600" s="119"/>
      <c r="F600" s="119"/>
      <c r="G600" s="119"/>
      <c r="H600" s="8">
        <f>I600+J600+K600</f>
        <v>1382387000</v>
      </c>
      <c r="I600" s="8">
        <f t="shared" si="152"/>
        <v>300000000</v>
      </c>
      <c r="J600" s="8">
        <f t="shared" si="152"/>
        <v>582387000</v>
      </c>
      <c r="K600" s="8">
        <f t="shared" si="152"/>
        <v>500000000</v>
      </c>
      <c r="M600" s="52"/>
    </row>
    <row r="601" spans="1:13" ht="25.5" x14ac:dyDescent="0.2">
      <c r="A601" s="186" t="s">
        <v>624</v>
      </c>
      <c r="B601" s="192" t="s">
        <v>249</v>
      </c>
      <c r="C601" s="118"/>
      <c r="D601" s="118"/>
      <c r="E601" s="119"/>
      <c r="F601" s="119"/>
      <c r="G601" s="119"/>
      <c r="H601" s="8">
        <f t="shared" si="148"/>
        <v>435000</v>
      </c>
      <c r="I601" s="8">
        <f t="shared" si="152"/>
        <v>435000</v>
      </c>
      <c r="J601" s="8">
        <f t="shared" si="152"/>
        <v>0</v>
      </c>
      <c r="K601" s="8">
        <f t="shared" si="152"/>
        <v>0</v>
      </c>
      <c r="M601" s="52"/>
    </row>
    <row r="602" spans="1:13" ht="25.5" x14ac:dyDescent="0.2">
      <c r="A602" s="186" t="s">
        <v>345</v>
      </c>
      <c r="B602" s="192" t="s">
        <v>463</v>
      </c>
      <c r="C602" s="118"/>
      <c r="D602" s="118"/>
      <c r="E602" s="119"/>
      <c r="F602" s="119"/>
      <c r="G602" s="119"/>
      <c r="H602" s="8">
        <f t="shared" si="148"/>
        <v>1363357</v>
      </c>
      <c r="I602" s="8">
        <f t="shared" si="152"/>
        <v>192496</v>
      </c>
      <c r="J602" s="8">
        <f t="shared" si="152"/>
        <v>1170861</v>
      </c>
      <c r="K602" s="8">
        <f t="shared" si="152"/>
        <v>0</v>
      </c>
      <c r="M602" s="52"/>
    </row>
    <row r="603" spans="1:13" ht="25.5" x14ac:dyDescent="0.2">
      <c r="A603" s="186" t="s">
        <v>461</v>
      </c>
      <c r="B603" s="192" t="s">
        <v>463</v>
      </c>
      <c r="C603" s="118"/>
      <c r="D603" s="118"/>
      <c r="E603" s="119"/>
      <c r="F603" s="119"/>
      <c r="G603" s="119"/>
      <c r="H603" s="8">
        <f t="shared" si="148"/>
        <v>8098335</v>
      </c>
      <c r="I603" s="8">
        <f t="shared" si="152"/>
        <v>1143422</v>
      </c>
      <c r="J603" s="8">
        <f t="shared" si="152"/>
        <v>6954913</v>
      </c>
      <c r="K603" s="8">
        <f t="shared" si="152"/>
        <v>0</v>
      </c>
      <c r="M603" s="52"/>
    </row>
    <row r="604" spans="1:13" ht="25.5" x14ac:dyDescent="0.2">
      <c r="A604" s="312" t="s">
        <v>462</v>
      </c>
      <c r="B604" s="313" t="s">
        <v>463</v>
      </c>
      <c r="C604" s="118"/>
      <c r="D604" s="118"/>
      <c r="E604" s="119"/>
      <c r="F604" s="119"/>
      <c r="G604" s="119"/>
      <c r="H604" s="8">
        <f t="shared" si="148"/>
        <v>126873900</v>
      </c>
      <c r="I604" s="8">
        <f t="shared" si="152"/>
        <v>17913600</v>
      </c>
      <c r="J604" s="8">
        <f t="shared" si="152"/>
        <v>108960300</v>
      </c>
      <c r="K604" s="8">
        <f t="shared" si="152"/>
        <v>0</v>
      </c>
      <c r="M604" s="52"/>
    </row>
    <row r="605" spans="1:13" ht="25.5" x14ac:dyDescent="0.2">
      <c r="A605" s="186" t="s">
        <v>313</v>
      </c>
      <c r="B605" s="192" t="s">
        <v>307</v>
      </c>
      <c r="C605" s="118"/>
      <c r="D605" s="118"/>
      <c r="E605" s="119"/>
      <c r="F605" s="119"/>
      <c r="G605" s="119"/>
      <c r="H605" s="8">
        <f t="shared" si="148"/>
        <v>1006174.64</v>
      </c>
      <c r="I605" s="8">
        <f t="shared" si="152"/>
        <v>1006174.64</v>
      </c>
      <c r="J605" s="8">
        <f t="shared" si="152"/>
        <v>0</v>
      </c>
      <c r="K605" s="8">
        <f t="shared" si="152"/>
        <v>0</v>
      </c>
      <c r="M605" s="52"/>
    </row>
    <row r="606" spans="1:13" ht="25.5" x14ac:dyDescent="0.2">
      <c r="A606" s="186" t="s">
        <v>370</v>
      </c>
      <c r="B606" s="192" t="s">
        <v>620</v>
      </c>
      <c r="C606" s="118"/>
      <c r="D606" s="118"/>
      <c r="E606" s="119"/>
      <c r="F606" s="119"/>
      <c r="G606" s="119"/>
      <c r="H606" s="8">
        <f t="shared" si="148"/>
        <v>90000</v>
      </c>
      <c r="I606" s="8">
        <f t="shared" si="152"/>
        <v>90000</v>
      </c>
      <c r="J606" s="8">
        <f t="shared" si="152"/>
        <v>0</v>
      </c>
      <c r="K606" s="8">
        <f t="shared" si="152"/>
        <v>0</v>
      </c>
      <c r="M606" s="52"/>
    </row>
    <row r="607" spans="1:13" ht="25.5" x14ac:dyDescent="0.2">
      <c r="A607" s="186" t="s">
        <v>370</v>
      </c>
      <c r="B607" s="192" t="s">
        <v>318</v>
      </c>
      <c r="C607" s="118"/>
      <c r="D607" s="118"/>
      <c r="E607" s="119"/>
      <c r="F607" s="119"/>
      <c r="G607" s="119"/>
      <c r="H607" s="8">
        <f t="shared" si="148"/>
        <v>14376417.66</v>
      </c>
      <c r="I607" s="8">
        <f t="shared" si="152"/>
        <v>14376417.66</v>
      </c>
      <c r="J607" s="8">
        <f t="shared" si="152"/>
        <v>0</v>
      </c>
      <c r="K607" s="8">
        <f t="shared" si="152"/>
        <v>0</v>
      </c>
      <c r="M607" s="52"/>
    </row>
    <row r="608" spans="1:13" ht="25.5" x14ac:dyDescent="0.2">
      <c r="A608" s="186" t="s">
        <v>331</v>
      </c>
      <c r="B608" s="192" t="s">
        <v>411</v>
      </c>
      <c r="C608" s="118"/>
      <c r="D608" s="118"/>
      <c r="E608" s="119"/>
      <c r="F608" s="119"/>
      <c r="G608" s="119"/>
      <c r="H608" s="8">
        <f>I608+J608+K608</f>
        <v>235070.85999999996</v>
      </c>
      <c r="I608" s="8">
        <f t="shared" si="152"/>
        <v>235070.85999999996</v>
      </c>
      <c r="J608" s="8">
        <f t="shared" si="152"/>
        <v>0</v>
      </c>
      <c r="K608" s="8">
        <f t="shared" si="152"/>
        <v>0</v>
      </c>
      <c r="M608" s="52"/>
    </row>
    <row r="609" spans="1:14" ht="25.5" x14ac:dyDescent="0.2">
      <c r="A609" s="186" t="s">
        <v>408</v>
      </c>
      <c r="B609" s="192" t="s">
        <v>412</v>
      </c>
      <c r="C609" s="118"/>
      <c r="D609" s="118"/>
      <c r="E609" s="119"/>
      <c r="F609" s="119"/>
      <c r="G609" s="119"/>
      <c r="H609" s="8">
        <f>I609+J609+K609</f>
        <v>1237799.2999999989</v>
      </c>
      <c r="I609" s="8">
        <f t="shared" ref="I609:K611" si="153">I541</f>
        <v>1237799.2999999989</v>
      </c>
      <c r="J609" s="8">
        <f t="shared" si="153"/>
        <v>0</v>
      </c>
      <c r="K609" s="8">
        <f t="shared" si="153"/>
        <v>0</v>
      </c>
      <c r="M609" s="52"/>
    </row>
    <row r="610" spans="1:14" ht="25.5" x14ac:dyDescent="0.2">
      <c r="A610" s="9" t="s">
        <v>5</v>
      </c>
      <c r="B610" s="5" t="s">
        <v>29</v>
      </c>
      <c r="C610" s="118"/>
      <c r="D610" s="118"/>
      <c r="E610" s="119"/>
      <c r="F610" s="119"/>
      <c r="G610" s="119"/>
      <c r="H610" s="8">
        <f t="shared" si="148"/>
        <v>3780905.92</v>
      </c>
      <c r="I610" s="8">
        <f t="shared" si="153"/>
        <v>606060.61</v>
      </c>
      <c r="J610" s="8">
        <f t="shared" si="153"/>
        <v>495549.72</v>
      </c>
      <c r="K610" s="8">
        <f t="shared" si="153"/>
        <v>2679295.59</v>
      </c>
      <c r="M610" s="52"/>
    </row>
    <row r="611" spans="1:14" ht="26.25" thickBot="1" x14ac:dyDescent="0.25">
      <c r="A611" s="9" t="s">
        <v>6</v>
      </c>
      <c r="B611" s="5" t="s">
        <v>29</v>
      </c>
      <c r="C611" s="118"/>
      <c r="D611" s="118"/>
      <c r="E611" s="119"/>
      <c r="F611" s="119"/>
      <c r="G611" s="119"/>
      <c r="H611" s="8">
        <f t="shared" si="148"/>
        <v>374309685.38999999</v>
      </c>
      <c r="I611" s="8">
        <f t="shared" si="153"/>
        <v>60000000</v>
      </c>
      <c r="J611" s="8">
        <f t="shared" si="153"/>
        <v>49059421.789999999</v>
      </c>
      <c r="K611" s="8">
        <f t="shared" si="153"/>
        <v>265250263.59999999</v>
      </c>
      <c r="M611" s="52"/>
    </row>
    <row r="612" spans="1:14" ht="24.75" customHeight="1" thickBot="1" x14ac:dyDescent="0.25">
      <c r="A612" s="495" t="s">
        <v>44</v>
      </c>
      <c r="B612" s="495"/>
      <c r="C612" s="495"/>
      <c r="D612" s="495"/>
      <c r="E612" s="495"/>
      <c r="F612" s="495"/>
      <c r="G612" s="495"/>
      <c r="H612" s="495"/>
      <c r="I612" s="495"/>
      <c r="J612" s="495"/>
      <c r="K612" s="495"/>
      <c r="L612" s="52"/>
      <c r="M612" s="52"/>
    </row>
    <row r="613" spans="1:14" ht="24" customHeight="1" thickBot="1" x14ac:dyDescent="0.25">
      <c r="A613" s="505" t="s">
        <v>45</v>
      </c>
      <c r="B613" s="505"/>
      <c r="C613" s="505"/>
      <c r="D613" s="505"/>
      <c r="E613" s="505"/>
      <c r="F613" s="505"/>
      <c r="G613" s="505"/>
      <c r="H613" s="505"/>
      <c r="I613" s="505"/>
      <c r="J613" s="505"/>
      <c r="K613" s="505"/>
      <c r="L613" s="52"/>
      <c r="M613" s="52"/>
    </row>
    <row r="614" spans="1:14" ht="66" customHeight="1" thickBot="1" x14ac:dyDescent="0.25">
      <c r="A614" s="284" t="s">
        <v>8</v>
      </c>
      <c r="B614" s="285"/>
      <c r="C614" s="286"/>
      <c r="D614" s="286"/>
      <c r="E614" s="287"/>
      <c r="F614" s="287"/>
      <c r="G614" s="287"/>
      <c r="H614" s="280">
        <f>I614+J614+K614</f>
        <v>319007711</v>
      </c>
      <c r="I614" s="280">
        <f>I615+I619</f>
        <v>107583311</v>
      </c>
      <c r="J614" s="280">
        <f t="shared" ref="J614:K614" si="154">J615</f>
        <v>101483712</v>
      </c>
      <c r="K614" s="280">
        <f t="shared" si="154"/>
        <v>109940688</v>
      </c>
      <c r="L614" s="54"/>
      <c r="M614" s="52"/>
    </row>
    <row r="615" spans="1:14" ht="93.75" customHeight="1" x14ac:dyDescent="0.2">
      <c r="A615" s="236" t="s">
        <v>37</v>
      </c>
      <c r="B615" s="288" t="s">
        <v>112</v>
      </c>
      <c r="C615" s="289" t="s">
        <v>214</v>
      </c>
      <c r="D615" s="289" t="s">
        <v>215</v>
      </c>
      <c r="E615" s="276">
        <v>276965964</v>
      </c>
      <c r="F615" s="276"/>
      <c r="G615" s="276">
        <f>E615-F615</f>
        <v>276965964</v>
      </c>
      <c r="H615" s="276">
        <f t="shared" ref="H615:H625" si="155">I615+J615+K615</f>
        <v>316157711</v>
      </c>
      <c r="I615" s="276">
        <f>SUM(I616:I618)</f>
        <v>104733311</v>
      </c>
      <c r="J615" s="276">
        <f>SUM(J616:J618)</f>
        <v>101483712</v>
      </c>
      <c r="K615" s="276">
        <f>SUM(K616:K618)</f>
        <v>109940688</v>
      </c>
      <c r="L615" s="52"/>
      <c r="M615" s="52"/>
    </row>
    <row r="616" spans="1:14" ht="25.5" x14ac:dyDescent="0.2">
      <c r="A616" s="186" t="s">
        <v>38</v>
      </c>
      <c r="B616" s="282" t="s">
        <v>39</v>
      </c>
      <c r="C616" s="290"/>
      <c r="D616" s="290"/>
      <c r="E616" s="246"/>
      <c r="F616" s="246"/>
      <c r="G616" s="246"/>
      <c r="H616" s="246">
        <f>SUM(I616:K616)</f>
        <v>117693865.61</v>
      </c>
      <c r="I616" s="246">
        <f>10571219.99+8456976+0.01+25370928+14331402+12060345+14237487-1437487</f>
        <v>83590871</v>
      </c>
      <c r="J616" s="246">
        <v>16106763.140000001</v>
      </c>
      <c r="K616" s="246">
        <v>17996231.469999999</v>
      </c>
      <c r="L616" s="52" t="s">
        <v>652</v>
      </c>
      <c r="M616" s="52"/>
      <c r="N616" s="52"/>
    </row>
    <row r="617" spans="1:14" ht="39" customHeight="1" x14ac:dyDescent="0.2">
      <c r="A617" s="186" t="s">
        <v>38</v>
      </c>
      <c r="B617" s="282" t="s">
        <v>521</v>
      </c>
      <c r="C617" s="290"/>
      <c r="D617" s="290"/>
      <c r="E617" s="246"/>
      <c r="F617" s="246"/>
      <c r="G617" s="246"/>
      <c r="H617" s="246">
        <f t="shared" ref="H617:H618" si="156">SUM(I617:K617)</f>
        <v>11907830.74</v>
      </c>
      <c r="I617" s="246">
        <v>1268546.3999999999</v>
      </c>
      <c r="J617" s="246">
        <v>5122616.9400000004</v>
      </c>
      <c r="K617" s="246">
        <v>5516667.4000000004</v>
      </c>
      <c r="L617" s="52"/>
      <c r="M617" s="52"/>
      <c r="N617" s="52"/>
    </row>
    <row r="618" spans="1:14" ht="38.25" x14ac:dyDescent="0.2">
      <c r="A618" s="186" t="s">
        <v>40</v>
      </c>
      <c r="B618" s="282" t="s">
        <v>518</v>
      </c>
      <c r="C618" s="290"/>
      <c r="D618" s="290"/>
      <c r="E618" s="246"/>
      <c r="F618" s="246"/>
      <c r="G618" s="246"/>
      <c r="H618" s="246">
        <f t="shared" si="156"/>
        <v>186556014.65000001</v>
      </c>
      <c r="I618" s="246">
        <f>51672123.36-5158755.35-0.01-1268546.4-25370928</f>
        <v>19873893.600000001</v>
      </c>
      <c r="J618" s="246">
        <v>80254331.920000002</v>
      </c>
      <c r="K618" s="246">
        <v>86427789.129999995</v>
      </c>
      <c r="L618" s="52"/>
      <c r="M618" s="52"/>
      <c r="N618" s="52"/>
    </row>
    <row r="619" spans="1:14" ht="51" x14ac:dyDescent="0.2">
      <c r="A619" s="358" t="s">
        <v>357</v>
      </c>
      <c r="B619" s="145" t="s">
        <v>112</v>
      </c>
      <c r="C619" s="11" t="s">
        <v>358</v>
      </c>
      <c r="D619" s="11" t="s">
        <v>109</v>
      </c>
      <c r="E619" s="8">
        <v>2850000</v>
      </c>
      <c r="F619" s="8"/>
      <c r="G619" s="8">
        <f>E619</f>
        <v>2850000</v>
      </c>
      <c r="H619" s="8">
        <f>I619+J619+K619</f>
        <v>2850000</v>
      </c>
      <c r="I619" s="8">
        <f>SUM(I620)</f>
        <v>2850000</v>
      </c>
      <c r="J619" s="8">
        <f>SUM(J620)</f>
        <v>0</v>
      </c>
      <c r="K619" s="8">
        <f>SUM(K620)</f>
        <v>0</v>
      </c>
      <c r="L619" s="52"/>
      <c r="M619" s="52"/>
      <c r="N619" s="52"/>
    </row>
    <row r="620" spans="1:14" ht="26.25" thickBot="1" x14ac:dyDescent="0.25">
      <c r="A620" s="90" t="s">
        <v>359</v>
      </c>
      <c r="B620" s="96" t="s">
        <v>360</v>
      </c>
      <c r="C620" s="12"/>
      <c r="D620" s="12"/>
      <c r="E620" s="13"/>
      <c r="F620" s="13"/>
      <c r="G620" s="13"/>
      <c r="H620" s="13">
        <f>I620+J620+K620</f>
        <v>2850000</v>
      </c>
      <c r="I620" s="13">
        <v>2850000</v>
      </c>
      <c r="J620" s="13"/>
      <c r="K620" s="13"/>
      <c r="L620" s="52"/>
      <c r="M620" s="52"/>
      <c r="N620" s="52"/>
    </row>
    <row r="621" spans="1:14" ht="25.5" customHeight="1" thickBot="1" x14ac:dyDescent="0.25">
      <c r="A621" s="506" t="s">
        <v>9</v>
      </c>
      <c r="B621" s="507"/>
      <c r="C621" s="279"/>
      <c r="D621" s="279"/>
      <c r="E621" s="279"/>
      <c r="F621" s="279"/>
      <c r="G621" s="279"/>
      <c r="H621" s="280">
        <f t="shared" si="155"/>
        <v>319007711</v>
      </c>
      <c r="I621" s="280">
        <f>SUM(I622:I625)</f>
        <v>107583311</v>
      </c>
      <c r="J621" s="280">
        <f>SUM(J622:J624)</f>
        <v>101483712</v>
      </c>
      <c r="K621" s="280">
        <f>SUM(K622:K624)</f>
        <v>109940688</v>
      </c>
      <c r="L621" s="52"/>
      <c r="M621" s="52"/>
    </row>
    <row r="622" spans="1:14" ht="25.5" x14ac:dyDescent="0.2">
      <c r="A622" s="187" t="s">
        <v>38</v>
      </c>
      <c r="B622" s="281">
        <v>9253</v>
      </c>
      <c r="C622" s="236"/>
      <c r="D622" s="236"/>
      <c r="E622" s="236"/>
      <c r="F622" s="236"/>
      <c r="G622" s="236"/>
      <c r="H622" s="276">
        <f t="shared" si="155"/>
        <v>117693865.61</v>
      </c>
      <c r="I622" s="276">
        <f t="shared" ref="I622:K624" si="157">I616</f>
        <v>83590871</v>
      </c>
      <c r="J622" s="276">
        <f t="shared" si="157"/>
        <v>16106763.140000001</v>
      </c>
      <c r="K622" s="276">
        <f t="shared" si="157"/>
        <v>17996231.469999999</v>
      </c>
      <c r="L622" s="52"/>
      <c r="M622" s="52"/>
    </row>
    <row r="623" spans="1:14" ht="25.5" x14ac:dyDescent="0.2">
      <c r="A623" s="186" t="s">
        <v>38</v>
      </c>
      <c r="B623" s="282" t="s">
        <v>520</v>
      </c>
      <c r="C623" s="283"/>
      <c r="D623" s="283"/>
      <c r="E623" s="283"/>
      <c r="F623" s="283"/>
      <c r="G623" s="283"/>
      <c r="H623" s="246">
        <f t="shared" si="155"/>
        <v>11907830.74</v>
      </c>
      <c r="I623" s="246">
        <f t="shared" si="157"/>
        <v>1268546.3999999999</v>
      </c>
      <c r="J623" s="246">
        <f t="shared" si="157"/>
        <v>5122616.9400000004</v>
      </c>
      <c r="K623" s="246">
        <f t="shared" si="157"/>
        <v>5516667.4000000004</v>
      </c>
      <c r="L623" s="52"/>
      <c r="M623" s="52"/>
    </row>
    <row r="624" spans="1:14" ht="25.5" x14ac:dyDescent="0.2">
      <c r="A624" s="186" t="s">
        <v>40</v>
      </c>
      <c r="B624" s="282" t="s">
        <v>519</v>
      </c>
      <c r="C624" s="283"/>
      <c r="D624" s="283"/>
      <c r="E624" s="283"/>
      <c r="F624" s="283"/>
      <c r="G624" s="283"/>
      <c r="H624" s="246">
        <f t="shared" si="155"/>
        <v>186556014.65000001</v>
      </c>
      <c r="I624" s="246">
        <f t="shared" si="157"/>
        <v>19873893.600000001</v>
      </c>
      <c r="J624" s="246">
        <f t="shared" si="157"/>
        <v>80254331.920000002</v>
      </c>
      <c r="K624" s="246">
        <f t="shared" si="157"/>
        <v>86427789.129999995</v>
      </c>
      <c r="L624" s="52"/>
      <c r="M624" s="52"/>
    </row>
    <row r="625" spans="1:13" ht="26.25" thickBot="1" x14ac:dyDescent="0.25">
      <c r="A625" s="188" t="s">
        <v>359</v>
      </c>
      <c r="B625" s="314" t="s">
        <v>360</v>
      </c>
      <c r="C625" s="375"/>
      <c r="D625" s="375"/>
      <c r="E625" s="375"/>
      <c r="F625" s="375"/>
      <c r="G625" s="375"/>
      <c r="H625" s="248">
        <f t="shared" si="155"/>
        <v>2850000</v>
      </c>
      <c r="I625" s="248">
        <f>I620</f>
        <v>2850000</v>
      </c>
      <c r="J625" s="248">
        <f t="shared" ref="J625:K625" si="158">J620</f>
        <v>0</v>
      </c>
      <c r="K625" s="248">
        <f t="shared" si="158"/>
        <v>0</v>
      </c>
      <c r="L625" s="52"/>
      <c r="M625" s="52"/>
    </row>
    <row r="626" spans="1:13" ht="25.5" customHeight="1" thickBot="1" x14ac:dyDescent="0.25">
      <c r="A626" s="498" t="s">
        <v>46</v>
      </c>
      <c r="B626" s="498"/>
      <c r="C626" s="498"/>
      <c r="D626" s="498"/>
      <c r="E626" s="498"/>
      <c r="F626" s="498"/>
      <c r="G626" s="498"/>
      <c r="H626" s="498"/>
      <c r="I626" s="498"/>
      <c r="J626" s="498"/>
      <c r="K626" s="498"/>
      <c r="L626" s="52"/>
      <c r="M626" s="52"/>
    </row>
    <row r="627" spans="1:13" ht="51.75" thickBot="1" x14ac:dyDescent="0.25">
      <c r="A627" s="10" t="s">
        <v>41</v>
      </c>
      <c r="B627" s="142"/>
      <c r="C627" s="142"/>
      <c r="D627" s="142"/>
      <c r="E627" s="175"/>
      <c r="F627" s="175"/>
      <c r="G627" s="175"/>
      <c r="H627" s="144">
        <f t="shared" ref="H627:H649" si="159">I627+J627+K627</f>
        <v>276000302.36000001</v>
      </c>
      <c r="I627" s="144">
        <f t="shared" ref="I627:K628" si="160">I628</f>
        <v>276000302.36000001</v>
      </c>
      <c r="J627" s="144">
        <f t="shared" si="160"/>
        <v>0</v>
      </c>
      <c r="K627" s="144">
        <f t="shared" si="160"/>
        <v>0</v>
      </c>
      <c r="L627" s="52"/>
      <c r="M627" s="52"/>
    </row>
    <row r="628" spans="1:13" ht="42" customHeight="1" thickBot="1" x14ac:dyDescent="0.25">
      <c r="A628" s="10" t="s">
        <v>3</v>
      </c>
      <c r="B628" s="142"/>
      <c r="C628" s="142"/>
      <c r="D628" s="142"/>
      <c r="E628" s="175"/>
      <c r="F628" s="175"/>
      <c r="G628" s="175"/>
      <c r="H628" s="144">
        <f t="shared" si="159"/>
        <v>276000302.36000001</v>
      </c>
      <c r="I628" s="144">
        <f t="shared" si="160"/>
        <v>276000302.36000001</v>
      </c>
      <c r="J628" s="144">
        <f t="shared" si="160"/>
        <v>0</v>
      </c>
      <c r="K628" s="144">
        <f t="shared" si="160"/>
        <v>0</v>
      </c>
      <c r="L628" s="52"/>
      <c r="M628" s="52"/>
    </row>
    <row r="629" spans="1:13" ht="26.25" thickBot="1" x14ac:dyDescent="0.25">
      <c r="A629" s="195" t="s">
        <v>70</v>
      </c>
      <c r="B629" s="142"/>
      <c r="C629" s="142"/>
      <c r="D629" s="142"/>
      <c r="E629" s="175"/>
      <c r="F629" s="175"/>
      <c r="G629" s="175"/>
      <c r="H629" s="176">
        <f t="shared" si="159"/>
        <v>276000302.36000001</v>
      </c>
      <c r="I629" s="176">
        <f>I630+I633</f>
        <v>276000302.36000001</v>
      </c>
      <c r="J629" s="176">
        <f>J630+J633</f>
        <v>0</v>
      </c>
      <c r="K629" s="176">
        <f>K630+K633</f>
        <v>0</v>
      </c>
      <c r="L629" s="52"/>
      <c r="M629" s="52"/>
    </row>
    <row r="630" spans="1:13" ht="89.25" x14ac:dyDescent="0.2">
      <c r="A630" s="180" t="s">
        <v>561</v>
      </c>
      <c r="B630" s="89" t="s">
        <v>119</v>
      </c>
      <c r="C630" s="89" t="s">
        <v>163</v>
      </c>
      <c r="D630" s="89" t="s">
        <v>109</v>
      </c>
      <c r="E630" s="107">
        <v>836262626.70000005</v>
      </c>
      <c r="F630" s="249">
        <v>467144750</v>
      </c>
      <c r="G630" s="249">
        <f>E630-F630</f>
        <v>369117876.70000005</v>
      </c>
      <c r="H630" s="276">
        <f t="shared" si="159"/>
        <v>155028182.35999998</v>
      </c>
      <c r="I630" s="276">
        <f>SUM(I631:I632)</f>
        <v>155028182.35999998</v>
      </c>
      <c r="J630" s="276">
        <f>SUM(J631:J632)</f>
        <v>0</v>
      </c>
      <c r="K630" s="81">
        <f>SUM(K631:K632)</f>
        <v>0</v>
      </c>
      <c r="L630" s="52"/>
      <c r="M630" s="52"/>
    </row>
    <row r="631" spans="1:13" ht="25.5" x14ac:dyDescent="0.2">
      <c r="A631" s="186" t="s">
        <v>514</v>
      </c>
      <c r="B631" s="389" t="s">
        <v>475</v>
      </c>
      <c r="C631" s="113"/>
      <c r="D631" s="113"/>
      <c r="E631" s="108"/>
      <c r="F631" s="291"/>
      <c r="G631" s="291"/>
      <c r="H631" s="246">
        <f t="shared" si="159"/>
        <v>1550281.82</v>
      </c>
      <c r="I631" s="246">
        <v>1550281.82</v>
      </c>
      <c r="J631" s="246"/>
      <c r="K631" s="87"/>
      <c r="L631" s="52"/>
      <c r="M631" s="52"/>
    </row>
    <row r="632" spans="1:13" ht="26.25" thickBot="1" x14ac:dyDescent="0.25">
      <c r="A632" s="186" t="s">
        <v>30</v>
      </c>
      <c r="B632" s="389" t="s">
        <v>476</v>
      </c>
      <c r="C632" s="113"/>
      <c r="D632" s="113"/>
      <c r="E632" s="108"/>
      <c r="F632" s="291"/>
      <c r="G632" s="291"/>
      <c r="H632" s="246">
        <f t="shared" si="159"/>
        <v>153477900.53999999</v>
      </c>
      <c r="I632" s="246">
        <v>153477900.53999999</v>
      </c>
      <c r="J632" s="246"/>
      <c r="K632" s="87"/>
      <c r="L632" s="52"/>
      <c r="M632" s="52"/>
    </row>
    <row r="633" spans="1:13" ht="76.5" x14ac:dyDescent="0.2">
      <c r="A633" s="236" t="s">
        <v>564</v>
      </c>
      <c r="B633" s="89" t="s">
        <v>100</v>
      </c>
      <c r="C633" s="89" t="s">
        <v>59</v>
      </c>
      <c r="D633" s="89" t="s">
        <v>109</v>
      </c>
      <c r="E633" s="107">
        <v>556363636.36000001</v>
      </c>
      <c r="F633" s="249">
        <v>1659995</v>
      </c>
      <c r="G633" s="249">
        <f>E633-F633</f>
        <v>554703641.36000001</v>
      </c>
      <c r="H633" s="276">
        <f t="shared" si="159"/>
        <v>120972120.00000001</v>
      </c>
      <c r="I633" s="276">
        <f>SUM(I634:I635)</f>
        <v>120972120.00000001</v>
      </c>
      <c r="J633" s="276">
        <f>SUM(J634:J635)</f>
        <v>0</v>
      </c>
      <c r="K633" s="81">
        <f>SUM(K634:K635)</f>
        <v>0</v>
      </c>
      <c r="L633" s="52"/>
      <c r="M633" s="52"/>
    </row>
    <row r="634" spans="1:13" ht="25.5" x14ac:dyDescent="0.2">
      <c r="A634" s="187" t="s">
        <v>514</v>
      </c>
      <c r="B634" s="389" t="s">
        <v>477</v>
      </c>
      <c r="C634" s="154"/>
      <c r="D634" s="154"/>
      <c r="E634" s="152"/>
      <c r="F634" s="191"/>
      <c r="G634" s="191"/>
      <c r="H634" s="277">
        <f t="shared" si="159"/>
        <v>1209721.2000000002</v>
      </c>
      <c r="I634" s="277">
        <f>2275327.43+4393.77-1070000</f>
        <v>1209721.2000000002</v>
      </c>
      <c r="J634" s="277"/>
      <c r="K634" s="97"/>
      <c r="L634" s="52"/>
      <c r="M634" s="52"/>
    </row>
    <row r="635" spans="1:13" ht="26.25" thickBot="1" x14ac:dyDescent="0.25">
      <c r="A635" s="188" t="s">
        <v>30</v>
      </c>
      <c r="B635" s="417" t="s">
        <v>478</v>
      </c>
      <c r="C635" s="131"/>
      <c r="D635" s="131"/>
      <c r="E635" s="122"/>
      <c r="F635" s="259"/>
      <c r="G635" s="259"/>
      <c r="H635" s="248">
        <f t="shared" si="159"/>
        <v>119762398.80000001</v>
      </c>
      <c r="I635" s="248">
        <f>225692398.8-225257415.26+225257415.26-105930000</f>
        <v>119762398.80000001</v>
      </c>
      <c r="J635" s="248"/>
      <c r="K635" s="88"/>
      <c r="L635" s="52"/>
      <c r="M635" s="52"/>
    </row>
    <row r="636" spans="1:13" ht="27.75" customHeight="1" thickBot="1" x14ac:dyDescent="0.25">
      <c r="A636" s="508" t="s">
        <v>42</v>
      </c>
      <c r="B636" s="509"/>
      <c r="C636" s="179"/>
      <c r="D636" s="179"/>
      <c r="E636" s="63"/>
      <c r="F636" s="63"/>
      <c r="G636" s="63"/>
      <c r="H636" s="63">
        <f t="shared" si="159"/>
        <v>276000302.36000001</v>
      </c>
      <c r="I636" s="63">
        <f>SUM(I637:I640)</f>
        <v>276000302.36000001</v>
      </c>
      <c r="J636" s="63">
        <f>SUM(J637:J640)</f>
        <v>0</v>
      </c>
      <c r="K636" s="62">
        <f>SUM(K637:K640)</f>
        <v>0</v>
      </c>
      <c r="L636" s="52"/>
      <c r="M636" s="52"/>
    </row>
    <row r="637" spans="1:13" ht="25.5" x14ac:dyDescent="0.2">
      <c r="A637" s="399" t="s">
        <v>31</v>
      </c>
      <c r="B637" s="196" t="s">
        <v>479</v>
      </c>
      <c r="C637" s="89"/>
      <c r="D637" s="89"/>
      <c r="E637" s="107"/>
      <c r="F637" s="107"/>
      <c r="G637" s="107"/>
      <c r="H637" s="81">
        <f t="shared" si="159"/>
        <v>1550281.82</v>
      </c>
      <c r="I637" s="81">
        <f>I631</f>
        <v>1550281.82</v>
      </c>
      <c r="J637" s="81">
        <f>J631</f>
        <v>0</v>
      </c>
      <c r="K637" s="81">
        <f>K631</f>
        <v>0</v>
      </c>
      <c r="L637" s="52"/>
      <c r="M637" s="52"/>
    </row>
    <row r="638" spans="1:13" ht="25.5" x14ac:dyDescent="0.2">
      <c r="A638" s="187" t="s">
        <v>514</v>
      </c>
      <c r="B638" s="397" t="s">
        <v>480</v>
      </c>
      <c r="C638" s="154"/>
      <c r="D638" s="154"/>
      <c r="E638" s="152"/>
      <c r="F638" s="152"/>
      <c r="G638" s="152"/>
      <c r="H638" s="87">
        <f t="shared" si="159"/>
        <v>1209721.2000000002</v>
      </c>
      <c r="I638" s="97">
        <f>I634</f>
        <v>1209721.2000000002</v>
      </c>
      <c r="J638" s="97">
        <f>J634</f>
        <v>0</v>
      </c>
      <c r="K638" s="97">
        <f>K634</f>
        <v>0</v>
      </c>
      <c r="L638" s="52"/>
      <c r="M638" s="52"/>
    </row>
    <row r="639" spans="1:13" ht="25.5" x14ac:dyDescent="0.2">
      <c r="A639" s="186" t="s">
        <v>30</v>
      </c>
      <c r="B639" s="397" t="s">
        <v>479</v>
      </c>
      <c r="C639" s="113"/>
      <c r="D639" s="113"/>
      <c r="E639" s="108"/>
      <c r="F639" s="108"/>
      <c r="G639" s="108"/>
      <c r="H639" s="87">
        <f t="shared" si="159"/>
        <v>153477900.53999999</v>
      </c>
      <c r="I639" s="87">
        <f>I632</f>
        <v>153477900.53999999</v>
      </c>
      <c r="J639" s="87">
        <f>J632</f>
        <v>0</v>
      </c>
      <c r="K639" s="87">
        <f>K632</f>
        <v>0</v>
      </c>
      <c r="L639" s="52"/>
      <c r="M639" s="52"/>
    </row>
    <row r="640" spans="1:13" ht="26.25" thickBot="1" x14ac:dyDescent="0.25">
      <c r="A640" s="128" t="s">
        <v>30</v>
      </c>
      <c r="B640" s="359" t="s">
        <v>480</v>
      </c>
      <c r="C640" s="143"/>
      <c r="D640" s="143"/>
      <c r="E640" s="136"/>
      <c r="F640" s="136"/>
      <c r="G640" s="136"/>
      <c r="H640" s="105">
        <f t="shared" si="159"/>
        <v>119762398.80000001</v>
      </c>
      <c r="I640" s="105">
        <f>I635</f>
        <v>119762398.80000001</v>
      </c>
      <c r="J640" s="105">
        <f>J635</f>
        <v>0</v>
      </c>
      <c r="K640" s="105">
        <f>K635</f>
        <v>0</v>
      </c>
      <c r="L640" s="52"/>
      <c r="M640" s="52"/>
    </row>
    <row r="641" spans="1:13" ht="22.5" customHeight="1" thickBot="1" x14ac:dyDescent="0.25">
      <c r="A641" s="502" t="s">
        <v>9</v>
      </c>
      <c r="B641" s="503"/>
      <c r="C641" s="137"/>
      <c r="D641" s="137"/>
      <c r="E641" s="137"/>
      <c r="F641" s="137"/>
      <c r="G641" s="137"/>
      <c r="H641" s="129">
        <f t="shared" si="159"/>
        <v>595008013.36000001</v>
      </c>
      <c r="I641" s="129">
        <f>SUM(I642:I649)</f>
        <v>383583613.36000001</v>
      </c>
      <c r="J641" s="129">
        <f>SUM(J642:J649)</f>
        <v>101483712</v>
      </c>
      <c r="K641" s="129">
        <f>SUM(K642:K649)</f>
        <v>109940688</v>
      </c>
      <c r="L641" s="77">
        <f>SUM(H642:H649)</f>
        <v>595008013.3599999</v>
      </c>
      <c r="M641" s="52"/>
    </row>
    <row r="642" spans="1:13" ht="25.5" x14ac:dyDescent="0.2">
      <c r="A642" s="159" t="s">
        <v>38</v>
      </c>
      <c r="B642" s="177">
        <v>9253</v>
      </c>
      <c r="C642" s="32"/>
      <c r="D642" s="32"/>
      <c r="E642" s="33"/>
      <c r="F642" s="33"/>
      <c r="G642" s="33"/>
      <c r="H642" s="81">
        <f t="shared" si="159"/>
        <v>117693865.61</v>
      </c>
      <c r="I642" s="33">
        <f t="shared" ref="I642:K645" si="161">I622</f>
        <v>83590871</v>
      </c>
      <c r="J642" s="33">
        <f t="shared" si="161"/>
        <v>16106763.140000001</v>
      </c>
      <c r="K642" s="33">
        <f t="shared" si="161"/>
        <v>17996231.469999999</v>
      </c>
      <c r="L642" s="52"/>
      <c r="M642" s="52"/>
    </row>
    <row r="643" spans="1:13" ht="25.5" x14ac:dyDescent="0.2">
      <c r="A643" s="99" t="s">
        <v>38</v>
      </c>
      <c r="B643" s="145" t="s">
        <v>520</v>
      </c>
      <c r="C643" s="11"/>
      <c r="D643" s="11"/>
      <c r="E643" s="8"/>
      <c r="F643" s="8"/>
      <c r="G643" s="8"/>
      <c r="H643" s="87">
        <f t="shared" si="159"/>
        <v>11907830.74</v>
      </c>
      <c r="I643" s="8">
        <f t="shared" si="161"/>
        <v>1268546.3999999999</v>
      </c>
      <c r="J643" s="8">
        <f t="shared" si="161"/>
        <v>5122616.9400000004</v>
      </c>
      <c r="K643" s="8">
        <f t="shared" si="161"/>
        <v>5516667.4000000004</v>
      </c>
      <c r="L643" s="52"/>
      <c r="M643" s="52"/>
    </row>
    <row r="644" spans="1:13" ht="25.5" x14ac:dyDescent="0.2">
      <c r="A644" s="9" t="s">
        <v>40</v>
      </c>
      <c r="B644" s="145" t="s">
        <v>519</v>
      </c>
      <c r="C644" s="11"/>
      <c r="D644" s="11"/>
      <c r="E644" s="8"/>
      <c r="F644" s="8"/>
      <c r="G644" s="8"/>
      <c r="H644" s="87">
        <f t="shared" si="159"/>
        <v>186556014.65000001</v>
      </c>
      <c r="I644" s="8">
        <f t="shared" si="161"/>
        <v>19873893.600000001</v>
      </c>
      <c r="J644" s="8">
        <f t="shared" si="161"/>
        <v>80254331.920000002</v>
      </c>
      <c r="K644" s="8">
        <f t="shared" si="161"/>
        <v>86427789.129999995</v>
      </c>
      <c r="L644" s="52"/>
      <c r="M644" s="52"/>
    </row>
    <row r="645" spans="1:13" ht="25.5" x14ac:dyDescent="0.2">
      <c r="A645" s="186" t="s">
        <v>359</v>
      </c>
      <c r="B645" s="192" t="s">
        <v>360</v>
      </c>
      <c r="C645" s="11"/>
      <c r="D645" s="11"/>
      <c r="E645" s="8"/>
      <c r="F645" s="8"/>
      <c r="G645" s="8"/>
      <c r="H645" s="87">
        <f t="shared" si="159"/>
        <v>2850000</v>
      </c>
      <c r="I645" s="8">
        <f t="shared" si="161"/>
        <v>2850000</v>
      </c>
      <c r="J645" s="8">
        <f t="shared" si="161"/>
        <v>0</v>
      </c>
      <c r="K645" s="8">
        <f t="shared" si="161"/>
        <v>0</v>
      </c>
      <c r="L645" s="52"/>
      <c r="M645" s="52"/>
    </row>
    <row r="646" spans="1:13" ht="25.5" x14ac:dyDescent="0.2">
      <c r="A646" s="99" t="s">
        <v>514</v>
      </c>
      <c r="B646" s="185" t="s">
        <v>479</v>
      </c>
      <c r="C646" s="11"/>
      <c r="D646" s="11"/>
      <c r="E646" s="8"/>
      <c r="F646" s="8"/>
      <c r="G646" s="8"/>
      <c r="H646" s="87">
        <f t="shared" si="159"/>
        <v>1550281.82</v>
      </c>
      <c r="I646" s="8">
        <f t="shared" ref="I646:K649" si="162">I637</f>
        <v>1550281.82</v>
      </c>
      <c r="J646" s="8">
        <f t="shared" si="162"/>
        <v>0</v>
      </c>
      <c r="K646" s="8">
        <f t="shared" si="162"/>
        <v>0</v>
      </c>
      <c r="L646" s="52"/>
      <c r="M646" s="52"/>
    </row>
    <row r="647" spans="1:13" ht="25.5" x14ac:dyDescent="0.2">
      <c r="A647" s="186" t="s">
        <v>514</v>
      </c>
      <c r="B647" s="397" t="s">
        <v>480</v>
      </c>
      <c r="C647" s="11"/>
      <c r="D647" s="11"/>
      <c r="E647" s="8"/>
      <c r="F647" s="8"/>
      <c r="G647" s="8"/>
      <c r="H647" s="87">
        <f t="shared" si="159"/>
        <v>1209721.2000000002</v>
      </c>
      <c r="I647" s="8">
        <f t="shared" si="162"/>
        <v>1209721.2000000002</v>
      </c>
      <c r="J647" s="8">
        <f t="shared" si="162"/>
        <v>0</v>
      </c>
      <c r="K647" s="8">
        <f t="shared" si="162"/>
        <v>0</v>
      </c>
      <c r="L647" s="52"/>
      <c r="M647" s="52"/>
    </row>
    <row r="648" spans="1:13" ht="25.5" x14ac:dyDescent="0.2">
      <c r="A648" s="186" t="s">
        <v>515</v>
      </c>
      <c r="B648" s="397" t="s">
        <v>479</v>
      </c>
      <c r="C648" s="11"/>
      <c r="D648" s="11"/>
      <c r="E648" s="8"/>
      <c r="F648" s="8"/>
      <c r="G648" s="8"/>
      <c r="H648" s="87">
        <f t="shared" si="159"/>
        <v>153477900.53999999</v>
      </c>
      <c r="I648" s="8">
        <f t="shared" si="162"/>
        <v>153477900.53999999</v>
      </c>
      <c r="J648" s="8">
        <f t="shared" si="162"/>
        <v>0</v>
      </c>
      <c r="K648" s="8">
        <f t="shared" si="162"/>
        <v>0</v>
      </c>
      <c r="L648" s="52"/>
      <c r="M648" s="52"/>
    </row>
    <row r="649" spans="1:13" ht="26.25" thickBot="1" x14ac:dyDescent="0.25">
      <c r="A649" s="90" t="s">
        <v>30</v>
      </c>
      <c r="B649" s="197" t="s">
        <v>480</v>
      </c>
      <c r="C649" s="12"/>
      <c r="D649" s="12"/>
      <c r="E649" s="13"/>
      <c r="F649" s="13"/>
      <c r="G649" s="13"/>
      <c r="H649" s="88">
        <f t="shared" si="159"/>
        <v>119762398.80000001</v>
      </c>
      <c r="I649" s="13">
        <f t="shared" si="162"/>
        <v>119762398.80000001</v>
      </c>
      <c r="J649" s="13">
        <f t="shared" si="162"/>
        <v>0</v>
      </c>
      <c r="K649" s="13">
        <f t="shared" si="162"/>
        <v>0</v>
      </c>
      <c r="L649" s="52"/>
      <c r="M649" s="52"/>
    </row>
    <row r="650" spans="1:13" ht="22.5" customHeight="1" thickBot="1" x14ac:dyDescent="0.25">
      <c r="A650" s="504" t="s">
        <v>47</v>
      </c>
      <c r="B650" s="504"/>
      <c r="C650" s="504"/>
      <c r="D650" s="504"/>
      <c r="E650" s="504"/>
      <c r="F650" s="504"/>
      <c r="G650" s="504"/>
      <c r="H650" s="504"/>
      <c r="I650" s="504"/>
      <c r="J650" s="504"/>
      <c r="K650" s="504"/>
      <c r="L650" s="52"/>
      <c r="M650" s="52"/>
    </row>
    <row r="651" spans="1:13" ht="22.5" customHeight="1" thickBot="1" x14ac:dyDescent="0.25">
      <c r="A651" s="498" t="s">
        <v>585</v>
      </c>
      <c r="B651" s="498"/>
      <c r="C651" s="498"/>
      <c r="D651" s="498"/>
      <c r="E651" s="498"/>
      <c r="F651" s="498"/>
      <c r="G651" s="498"/>
      <c r="H651" s="498"/>
      <c r="I651" s="498"/>
      <c r="J651" s="498"/>
      <c r="K651" s="498"/>
      <c r="L651" s="52"/>
      <c r="M651" s="52"/>
    </row>
    <row r="652" spans="1:13" ht="43.5" customHeight="1" thickBot="1" x14ac:dyDescent="0.25">
      <c r="A652" s="421" t="s">
        <v>48</v>
      </c>
      <c r="B652" s="422"/>
      <c r="C652" s="423"/>
      <c r="D652" s="423"/>
      <c r="E652" s="419"/>
      <c r="F652" s="419"/>
      <c r="G652" s="419"/>
      <c r="H652" s="424">
        <f>I652+J652+K652</f>
        <v>2889950</v>
      </c>
      <c r="I652" s="419">
        <f>I654</f>
        <v>2889950</v>
      </c>
      <c r="J652" s="419">
        <f>J654</f>
        <v>0</v>
      </c>
      <c r="K652" s="419">
        <f>K654</f>
        <v>0</v>
      </c>
      <c r="L652" s="52"/>
      <c r="M652" s="52"/>
    </row>
    <row r="653" spans="1:13" ht="20.25" customHeight="1" thickBot="1" x14ac:dyDescent="0.25">
      <c r="A653" s="31" t="s">
        <v>67</v>
      </c>
      <c r="B653" s="146"/>
      <c r="C653" s="147"/>
      <c r="D653" s="147"/>
      <c r="E653" s="67"/>
      <c r="F653" s="67"/>
      <c r="G653" s="67"/>
      <c r="H653" s="144"/>
      <c r="I653" s="67"/>
      <c r="J653" s="67"/>
      <c r="K653" s="67"/>
      <c r="L653" s="52"/>
      <c r="M653" s="52"/>
    </row>
    <row r="654" spans="1:13" ht="63.75" x14ac:dyDescent="0.2">
      <c r="A654" s="94" t="s">
        <v>212</v>
      </c>
      <c r="B654" s="319" t="s">
        <v>112</v>
      </c>
      <c r="C654" s="35" t="s">
        <v>594</v>
      </c>
      <c r="D654" s="32" t="s">
        <v>109</v>
      </c>
      <c r="E654" s="276">
        <v>2466618</v>
      </c>
      <c r="F654" s="276"/>
      <c r="G654" s="276">
        <f>E654-F654</f>
        <v>2466618</v>
      </c>
      <c r="H654" s="276">
        <f>I654+J654+K654</f>
        <v>2889950</v>
      </c>
      <c r="I654" s="276">
        <f>SUM(I655:I656)</f>
        <v>2889950</v>
      </c>
      <c r="J654" s="33">
        <f>SUM(J655:J656)</f>
        <v>0</v>
      </c>
      <c r="K654" s="33">
        <f>SUM(K655:K656)</f>
        <v>0</v>
      </c>
      <c r="L654" s="52"/>
      <c r="M654" s="52"/>
    </row>
    <row r="655" spans="1:13" ht="25.5" x14ac:dyDescent="0.2">
      <c r="A655" s="9" t="s">
        <v>49</v>
      </c>
      <c r="B655" s="148" t="s">
        <v>57</v>
      </c>
      <c r="C655" s="11"/>
      <c r="D655" s="11"/>
      <c r="E655" s="246"/>
      <c r="F655" s="246"/>
      <c r="G655" s="246"/>
      <c r="H655" s="246">
        <f>I655+J655+K655</f>
        <v>144498</v>
      </c>
      <c r="I655" s="246">
        <f>123331+451196-430029</f>
        <v>144498</v>
      </c>
      <c r="J655" s="8"/>
      <c r="K655" s="8"/>
      <c r="L655" s="52"/>
      <c r="M655" s="52"/>
    </row>
    <row r="656" spans="1:13" ht="26.25" thickBot="1" x14ac:dyDescent="0.25">
      <c r="A656" s="16" t="s">
        <v>50</v>
      </c>
      <c r="B656" s="149" t="s">
        <v>58</v>
      </c>
      <c r="C656" s="12"/>
      <c r="D656" s="12"/>
      <c r="E656" s="13"/>
      <c r="F656" s="13"/>
      <c r="G656" s="13"/>
      <c r="H656" s="88">
        <f t="shared" ref="H656:H671" si="163">I656+J656+K656</f>
        <v>2745452</v>
      </c>
      <c r="I656" s="248">
        <f>2343287+402165</f>
        <v>2745452</v>
      </c>
      <c r="J656" s="13"/>
      <c r="K656" s="13"/>
      <c r="L656" s="52"/>
      <c r="M656" s="52"/>
    </row>
    <row r="657" spans="1:13" ht="21" customHeight="1" thickBot="1" x14ac:dyDescent="0.25">
      <c r="A657" s="500" t="s">
        <v>213</v>
      </c>
      <c r="B657" s="510"/>
      <c r="C657" s="501"/>
      <c r="D657" s="61"/>
      <c r="E657" s="62"/>
      <c r="F657" s="62"/>
      <c r="G657" s="62"/>
      <c r="H657" s="59">
        <f t="shared" si="163"/>
        <v>2889950</v>
      </c>
      <c r="I657" s="59">
        <f>SUM(I658:I659)</f>
        <v>2889950</v>
      </c>
      <c r="J657" s="59">
        <f>SUM(J658:J659)</f>
        <v>0</v>
      </c>
      <c r="K657" s="59">
        <f>SUM(K658:K659)</f>
        <v>0</v>
      </c>
      <c r="L657" s="52"/>
      <c r="M657" s="52"/>
    </row>
    <row r="658" spans="1:13" ht="25.5" x14ac:dyDescent="0.2">
      <c r="A658" s="159" t="s">
        <v>49</v>
      </c>
      <c r="B658" s="177">
        <v>9408</v>
      </c>
      <c r="C658" s="32"/>
      <c r="D658" s="32"/>
      <c r="E658" s="33"/>
      <c r="F658" s="33"/>
      <c r="G658" s="33"/>
      <c r="H658" s="81">
        <f t="shared" si="163"/>
        <v>144498</v>
      </c>
      <c r="I658" s="33">
        <f t="shared" ref="I658:K659" si="164">I655</f>
        <v>144498</v>
      </c>
      <c r="J658" s="33">
        <f t="shared" si="164"/>
        <v>0</v>
      </c>
      <c r="K658" s="33">
        <f t="shared" si="164"/>
        <v>0</v>
      </c>
      <c r="L658" s="52"/>
      <c r="M658" s="52"/>
    </row>
    <row r="659" spans="1:13" ht="26.25" thickBot="1" x14ac:dyDescent="0.25">
      <c r="A659" s="16" t="s">
        <v>50</v>
      </c>
      <c r="B659" s="138">
        <v>9408</v>
      </c>
      <c r="C659" s="12"/>
      <c r="D659" s="12"/>
      <c r="E659" s="13"/>
      <c r="F659" s="13"/>
      <c r="G659" s="13"/>
      <c r="H659" s="88">
        <f t="shared" si="163"/>
        <v>2745452</v>
      </c>
      <c r="I659" s="13">
        <f t="shared" si="164"/>
        <v>2745452</v>
      </c>
      <c r="J659" s="13">
        <f t="shared" si="164"/>
        <v>0</v>
      </c>
      <c r="K659" s="13">
        <f t="shared" si="164"/>
        <v>0</v>
      </c>
      <c r="L659" s="52"/>
      <c r="M659" s="52"/>
    </row>
    <row r="660" spans="1:13" ht="20.25" customHeight="1" thickBot="1" x14ac:dyDescent="0.25">
      <c r="A660" s="498" t="s">
        <v>586</v>
      </c>
      <c r="B660" s="498"/>
      <c r="C660" s="498"/>
      <c r="D660" s="498"/>
      <c r="E660" s="498"/>
      <c r="F660" s="498"/>
      <c r="G660" s="498"/>
      <c r="H660" s="498"/>
      <c r="I660" s="498"/>
      <c r="J660" s="498"/>
      <c r="K660" s="498"/>
      <c r="L660" s="52"/>
      <c r="M660" s="52"/>
    </row>
    <row r="661" spans="1:13" ht="42.75" customHeight="1" thickBot="1" x14ac:dyDescent="0.25">
      <c r="A661" s="421" t="s">
        <v>48</v>
      </c>
      <c r="B661" s="422"/>
      <c r="C661" s="423"/>
      <c r="D661" s="423"/>
      <c r="E661" s="419"/>
      <c r="F661" s="419"/>
      <c r="G661" s="419"/>
      <c r="H661" s="424">
        <f>I661+J661+K661</f>
        <v>8755200</v>
      </c>
      <c r="I661" s="419">
        <f>I663</f>
        <v>8755200</v>
      </c>
      <c r="J661" s="419">
        <f>J663</f>
        <v>0</v>
      </c>
      <c r="K661" s="419">
        <f>K663</f>
        <v>0</v>
      </c>
      <c r="L661" s="52"/>
      <c r="M661" s="52"/>
    </row>
    <row r="662" spans="1:13" ht="19.5" customHeight="1" thickBot="1" x14ac:dyDescent="0.25">
      <c r="A662" s="31" t="s">
        <v>67</v>
      </c>
      <c r="B662" s="146"/>
      <c r="C662" s="147"/>
      <c r="D662" s="147"/>
      <c r="E662" s="67"/>
      <c r="F662" s="67"/>
      <c r="G662" s="67"/>
      <c r="H662" s="144"/>
      <c r="I662" s="67"/>
      <c r="J662" s="67"/>
      <c r="K662" s="67"/>
      <c r="L662" s="52"/>
      <c r="M662" s="52"/>
    </row>
    <row r="663" spans="1:13" ht="89.25" x14ac:dyDescent="0.2">
      <c r="A663" s="94" t="s">
        <v>587</v>
      </c>
      <c r="B663" s="319" t="s">
        <v>112</v>
      </c>
      <c r="C663" s="35" t="s">
        <v>595</v>
      </c>
      <c r="D663" s="32" t="s">
        <v>109</v>
      </c>
      <c r="E663" s="276">
        <v>2466618</v>
      </c>
      <c r="F663" s="276"/>
      <c r="G663" s="276">
        <f>E663-F663</f>
        <v>2466618</v>
      </c>
      <c r="H663" s="276">
        <f>I663+J663+K663</f>
        <v>8755200</v>
      </c>
      <c r="I663" s="276">
        <f>SUM(I664:I665)</f>
        <v>8755200</v>
      </c>
      <c r="J663" s="33">
        <f>SUM(J664:J665)</f>
        <v>0</v>
      </c>
      <c r="K663" s="33">
        <f>SUM(K664:K665)</f>
        <v>0</v>
      </c>
      <c r="L663" s="52"/>
      <c r="M663" s="52"/>
    </row>
    <row r="664" spans="1:13" ht="25.5" x14ac:dyDescent="0.2">
      <c r="A664" s="9" t="s">
        <v>49</v>
      </c>
      <c r="B664" s="148" t="s">
        <v>57</v>
      </c>
      <c r="C664" s="11"/>
      <c r="D664" s="11"/>
      <c r="E664" s="246"/>
      <c r="F664" s="246"/>
      <c r="G664" s="246"/>
      <c r="H664" s="246">
        <f>I664+J664+K664</f>
        <v>584662</v>
      </c>
      <c r="I664" s="246">
        <f>430029+154633</f>
        <v>584662</v>
      </c>
      <c r="J664" s="8"/>
      <c r="K664" s="8"/>
      <c r="L664" s="52" t="s">
        <v>651</v>
      </c>
      <c r="M664" s="52"/>
    </row>
    <row r="665" spans="1:13" ht="26.25" thickBot="1" x14ac:dyDescent="0.25">
      <c r="A665" s="16" t="s">
        <v>50</v>
      </c>
      <c r="B665" s="149" t="s">
        <v>58</v>
      </c>
      <c r="C665" s="12"/>
      <c r="D665" s="12"/>
      <c r="E665" s="13"/>
      <c r="F665" s="13"/>
      <c r="G665" s="13"/>
      <c r="H665" s="88">
        <f t="shared" ref="H665:H668" si="165">I665+J665+K665</f>
        <v>8170538</v>
      </c>
      <c r="I665" s="13">
        <v>8170538</v>
      </c>
      <c r="J665" s="13"/>
      <c r="K665" s="13"/>
      <c r="L665" s="52"/>
      <c r="M665" s="52"/>
    </row>
    <row r="666" spans="1:13" ht="21" customHeight="1" thickBot="1" x14ac:dyDescent="0.25">
      <c r="A666" s="500" t="s">
        <v>588</v>
      </c>
      <c r="B666" s="510"/>
      <c r="C666" s="501"/>
      <c r="D666" s="61"/>
      <c r="E666" s="62"/>
      <c r="F666" s="62"/>
      <c r="G666" s="62"/>
      <c r="H666" s="59">
        <f t="shared" si="165"/>
        <v>8755200</v>
      </c>
      <c r="I666" s="59">
        <f>SUM(I667:I668)</f>
        <v>8755200</v>
      </c>
      <c r="J666" s="59">
        <f>SUM(J667:J668)</f>
        <v>0</v>
      </c>
      <c r="K666" s="59">
        <f>SUM(K667:K668)</f>
        <v>0</v>
      </c>
      <c r="L666" s="52"/>
      <c r="M666" s="52"/>
    </row>
    <row r="667" spans="1:13" ht="25.5" x14ac:dyDescent="0.2">
      <c r="A667" s="159" t="s">
        <v>49</v>
      </c>
      <c r="B667" s="177">
        <v>9408</v>
      </c>
      <c r="C667" s="32"/>
      <c r="D667" s="32"/>
      <c r="E667" s="33"/>
      <c r="F667" s="33"/>
      <c r="G667" s="33"/>
      <c r="H667" s="81">
        <f t="shared" si="165"/>
        <v>584662</v>
      </c>
      <c r="I667" s="33">
        <f>I664</f>
        <v>584662</v>
      </c>
      <c r="J667" s="33">
        <f t="shared" ref="J667:K668" si="166">J664</f>
        <v>0</v>
      </c>
      <c r="K667" s="33">
        <f t="shared" si="166"/>
        <v>0</v>
      </c>
      <c r="L667" s="52"/>
      <c r="M667" s="52"/>
    </row>
    <row r="668" spans="1:13" ht="26.25" thickBot="1" x14ac:dyDescent="0.25">
      <c r="A668" s="16" t="s">
        <v>50</v>
      </c>
      <c r="B668" s="138">
        <v>9408</v>
      </c>
      <c r="C668" s="12"/>
      <c r="D668" s="12"/>
      <c r="E668" s="13"/>
      <c r="F668" s="13"/>
      <c r="G668" s="13"/>
      <c r="H668" s="88">
        <f t="shared" si="165"/>
        <v>8170538</v>
      </c>
      <c r="I668" s="13">
        <f>I665</f>
        <v>8170538</v>
      </c>
      <c r="J668" s="13">
        <f t="shared" si="166"/>
        <v>0</v>
      </c>
      <c r="K668" s="13">
        <f t="shared" si="166"/>
        <v>0</v>
      </c>
      <c r="L668" s="52"/>
      <c r="M668" s="52"/>
    </row>
    <row r="669" spans="1:13" ht="22.5" customHeight="1" thickBot="1" x14ac:dyDescent="0.25">
      <c r="A669" s="502" t="s">
        <v>51</v>
      </c>
      <c r="B669" s="511"/>
      <c r="C669" s="503"/>
      <c r="D669" s="150"/>
      <c r="E669" s="151"/>
      <c r="F669" s="151"/>
      <c r="G669" s="151"/>
      <c r="H669" s="129">
        <f t="shared" si="163"/>
        <v>11645150</v>
      </c>
      <c r="I669" s="129">
        <f>SUM(I670:I671)</f>
        <v>11645150</v>
      </c>
      <c r="J669" s="129">
        <f>SUM(J670:J671)</f>
        <v>0</v>
      </c>
      <c r="K669" s="129">
        <f>SUM(K670:K671)</f>
        <v>0</v>
      </c>
      <c r="L669" s="52"/>
      <c r="M669" s="52"/>
    </row>
    <row r="670" spans="1:13" ht="25.5" x14ac:dyDescent="0.2">
      <c r="A670" s="159" t="s">
        <v>49</v>
      </c>
      <c r="B670" s="177">
        <v>9408</v>
      </c>
      <c r="C670" s="32"/>
      <c r="D670" s="32"/>
      <c r="E670" s="33"/>
      <c r="F670" s="33"/>
      <c r="G670" s="33"/>
      <c r="H670" s="81">
        <f t="shared" si="163"/>
        <v>729160</v>
      </c>
      <c r="I670" s="33">
        <f>I658+I667</f>
        <v>729160</v>
      </c>
      <c r="J670" s="33">
        <f t="shared" ref="J670:K671" si="167">J658</f>
        <v>0</v>
      </c>
      <c r="K670" s="33">
        <f t="shared" si="167"/>
        <v>0</v>
      </c>
      <c r="L670" s="52"/>
      <c r="M670" s="52"/>
    </row>
    <row r="671" spans="1:13" ht="26.25" thickBot="1" x14ac:dyDescent="0.25">
      <c r="A671" s="16" t="s">
        <v>50</v>
      </c>
      <c r="B671" s="138">
        <v>9408</v>
      </c>
      <c r="C671" s="12"/>
      <c r="D671" s="12"/>
      <c r="E671" s="13"/>
      <c r="F671" s="13"/>
      <c r="G671" s="13"/>
      <c r="H671" s="88">
        <f t="shared" si="163"/>
        <v>10915990</v>
      </c>
      <c r="I671" s="13">
        <f>I659+I668</f>
        <v>10915990</v>
      </c>
      <c r="J671" s="13">
        <f t="shared" si="167"/>
        <v>0</v>
      </c>
      <c r="K671" s="13">
        <f t="shared" si="167"/>
        <v>0</v>
      </c>
      <c r="L671" s="52"/>
      <c r="M671" s="52"/>
    </row>
    <row r="672" spans="1:13" ht="19.5" customHeight="1" thickBot="1" x14ac:dyDescent="0.25">
      <c r="A672" s="504" t="s">
        <v>481</v>
      </c>
      <c r="B672" s="504"/>
      <c r="C672" s="504"/>
      <c r="D672" s="504"/>
      <c r="E672" s="504"/>
      <c r="F672" s="504"/>
      <c r="G672" s="504"/>
      <c r="H672" s="504"/>
      <c r="I672" s="504"/>
      <c r="J672" s="504"/>
      <c r="K672" s="504"/>
      <c r="L672" s="52"/>
      <c r="M672" s="52"/>
    </row>
    <row r="673" spans="1:13" ht="21.75" customHeight="1" thickBot="1" x14ac:dyDescent="0.25">
      <c r="A673" s="500" t="s">
        <v>482</v>
      </c>
      <c r="B673" s="510"/>
      <c r="C673" s="510"/>
      <c r="D673" s="510"/>
      <c r="E673" s="510"/>
      <c r="F673" s="510"/>
      <c r="G673" s="510"/>
      <c r="H673" s="510"/>
      <c r="I673" s="510"/>
      <c r="J673" s="510"/>
      <c r="K673" s="501"/>
      <c r="L673" s="52"/>
      <c r="M673" s="52"/>
    </row>
    <row r="674" spans="1:13" ht="57" customHeight="1" thickBot="1" x14ac:dyDescent="0.25">
      <c r="A674" s="10" t="s">
        <v>343</v>
      </c>
      <c r="B674" s="352"/>
      <c r="C674" s="111"/>
      <c r="D674" s="111"/>
      <c r="E674" s="287"/>
      <c r="F674" s="287"/>
      <c r="G674" s="287"/>
      <c r="H674" s="280">
        <f>I674+J674+K674</f>
        <v>1254000</v>
      </c>
      <c r="I674" s="280">
        <f>I675</f>
        <v>1254000</v>
      </c>
      <c r="J674" s="280">
        <f t="shared" ref="J674:K675" si="168">J675</f>
        <v>0</v>
      </c>
      <c r="K674" s="280">
        <f t="shared" si="168"/>
        <v>0</v>
      </c>
      <c r="L674" s="52"/>
      <c r="M674" s="52"/>
    </row>
    <row r="675" spans="1:13" ht="27.75" thickBot="1" x14ac:dyDescent="0.25">
      <c r="A675" s="55" t="s">
        <v>344</v>
      </c>
      <c r="B675" s="352"/>
      <c r="C675" s="111"/>
      <c r="D675" s="111"/>
      <c r="E675" s="287"/>
      <c r="F675" s="287"/>
      <c r="G675" s="287"/>
      <c r="H675" s="56">
        <f>I675+J675+K675</f>
        <v>1254000</v>
      </c>
      <c r="I675" s="56">
        <f>I676</f>
        <v>1254000</v>
      </c>
      <c r="J675" s="56">
        <f t="shared" si="168"/>
        <v>0</v>
      </c>
      <c r="K675" s="56">
        <f t="shared" si="168"/>
        <v>0</v>
      </c>
      <c r="L675" s="52"/>
      <c r="M675" s="52"/>
    </row>
    <row r="676" spans="1:13" ht="51" x14ac:dyDescent="0.2">
      <c r="A676" s="134" t="s">
        <v>491</v>
      </c>
      <c r="B676" s="288" t="s">
        <v>108</v>
      </c>
      <c r="C676" s="297" t="s">
        <v>487</v>
      </c>
      <c r="D676" s="297" t="s">
        <v>109</v>
      </c>
      <c r="E676" s="276">
        <v>137589592</v>
      </c>
      <c r="F676" s="276"/>
      <c r="G676" s="276">
        <f>E676-F676</f>
        <v>137589592</v>
      </c>
      <c r="H676" s="81">
        <f>I676+J676+K676</f>
        <v>1254000</v>
      </c>
      <c r="I676" s="33">
        <f>SUM(I677)</f>
        <v>1254000</v>
      </c>
      <c r="J676" s="33">
        <f t="shared" ref="J676:K676" si="169">SUM(J677)</f>
        <v>0</v>
      </c>
      <c r="K676" s="33">
        <f t="shared" si="169"/>
        <v>0</v>
      </c>
      <c r="L676" s="52"/>
      <c r="M676" s="52"/>
    </row>
    <row r="677" spans="1:13" ht="26.25" thickBot="1" x14ac:dyDescent="0.25">
      <c r="A677" s="188" t="s">
        <v>483</v>
      </c>
      <c r="B677" s="314" t="s">
        <v>484</v>
      </c>
      <c r="C677" s="12"/>
      <c r="D677" s="12"/>
      <c r="E677" s="13"/>
      <c r="F677" s="13"/>
      <c r="G677" s="13"/>
      <c r="H677" s="13">
        <f>SUM(I677:K677)</f>
        <v>1254000</v>
      </c>
      <c r="I677" s="13">
        <v>1254000</v>
      </c>
      <c r="J677" s="13"/>
      <c r="K677" s="13"/>
      <c r="L677" s="52"/>
      <c r="M677" s="52"/>
    </row>
    <row r="678" spans="1:13" ht="20.25" customHeight="1" thickBot="1" x14ac:dyDescent="0.25">
      <c r="A678" s="500" t="s">
        <v>485</v>
      </c>
      <c r="B678" s="510"/>
      <c r="C678" s="510"/>
      <c r="D678" s="450"/>
      <c r="E678" s="450"/>
      <c r="F678" s="450"/>
      <c r="G678" s="450"/>
      <c r="H678" s="59">
        <f>I678+J678+K678</f>
        <v>1254000</v>
      </c>
      <c r="I678" s="71">
        <f>SUM(I679)</f>
        <v>1254000</v>
      </c>
      <c r="J678" s="71">
        <f t="shared" ref="J678:K678" si="170">SUM(J679)</f>
        <v>0</v>
      </c>
      <c r="K678" s="71">
        <f t="shared" si="170"/>
        <v>0</v>
      </c>
      <c r="L678" s="52"/>
      <c r="M678" s="52"/>
    </row>
    <row r="679" spans="1:13" ht="30" customHeight="1" thickBot="1" x14ac:dyDescent="0.25">
      <c r="A679" s="188" t="s">
        <v>483</v>
      </c>
      <c r="B679" s="392" t="s">
        <v>484</v>
      </c>
      <c r="C679" s="111"/>
      <c r="D679" s="111"/>
      <c r="E679" s="60"/>
      <c r="F679" s="60"/>
      <c r="G679" s="60"/>
      <c r="H679" s="176">
        <f>I679+J679+K679</f>
        <v>1254000</v>
      </c>
      <c r="I679" s="60">
        <f>I677</f>
        <v>1254000</v>
      </c>
      <c r="J679" s="60">
        <f t="shared" ref="J679:K679" si="171">J677</f>
        <v>0</v>
      </c>
      <c r="K679" s="60">
        <f t="shared" si="171"/>
        <v>0</v>
      </c>
      <c r="L679" s="52"/>
      <c r="M679" s="52"/>
    </row>
    <row r="680" spans="1:13" ht="24.75" customHeight="1" thickBot="1" x14ac:dyDescent="0.25">
      <c r="A680" s="502" t="s">
        <v>486</v>
      </c>
      <c r="B680" s="511"/>
      <c r="C680" s="503"/>
      <c r="D680" s="150"/>
      <c r="E680" s="151"/>
      <c r="F680" s="151"/>
      <c r="G680" s="151"/>
      <c r="H680" s="129">
        <f>I680+J680+K680</f>
        <v>1254000</v>
      </c>
      <c r="I680" s="129">
        <f>SUM(I681)</f>
        <v>1254000</v>
      </c>
      <c r="J680" s="129">
        <f t="shared" ref="J680:K680" si="172">SUM(J681)</f>
        <v>0</v>
      </c>
      <c r="K680" s="129">
        <f t="shared" si="172"/>
        <v>0</v>
      </c>
      <c r="L680" s="52"/>
      <c r="M680" s="52"/>
    </row>
    <row r="681" spans="1:13" ht="26.25" thickBot="1" x14ac:dyDescent="0.25">
      <c r="A681" s="188" t="s">
        <v>483</v>
      </c>
      <c r="B681" s="314" t="s">
        <v>484</v>
      </c>
      <c r="C681" s="12"/>
      <c r="D681" s="12"/>
      <c r="E681" s="13"/>
      <c r="F681" s="13"/>
      <c r="G681" s="13"/>
      <c r="H681" s="88">
        <f>I681+J681+K681</f>
        <v>1254000</v>
      </c>
      <c r="I681" s="13">
        <f>I679</f>
        <v>1254000</v>
      </c>
      <c r="J681" s="13">
        <f t="shared" ref="J681:K681" si="173">J679</f>
        <v>0</v>
      </c>
      <c r="K681" s="13">
        <f t="shared" si="173"/>
        <v>0</v>
      </c>
      <c r="L681" s="52"/>
      <c r="M681" s="52"/>
    </row>
    <row r="682" spans="1:13" ht="16.5" customHeight="1" x14ac:dyDescent="0.25">
      <c r="A682" s="38"/>
      <c r="B682" s="512" t="s">
        <v>353</v>
      </c>
      <c r="C682" s="512"/>
      <c r="D682" s="512"/>
      <c r="E682" s="512"/>
      <c r="F682" s="512"/>
      <c r="G682" s="512"/>
      <c r="H682" s="512"/>
      <c r="I682" s="512"/>
      <c r="J682" s="512"/>
      <c r="K682" s="512"/>
      <c r="L682" s="21"/>
    </row>
    <row r="683" spans="1:13" ht="31.5" customHeight="1" x14ac:dyDescent="0.25">
      <c r="A683" s="513" t="s">
        <v>34</v>
      </c>
      <c r="B683" s="513"/>
      <c r="C683" s="513"/>
      <c r="D683" s="513"/>
      <c r="E683" s="513"/>
      <c r="F683" s="513"/>
      <c r="G683" s="446"/>
      <c r="H683" s="446"/>
      <c r="I683" s="514" t="s">
        <v>563</v>
      </c>
      <c r="J683" s="514"/>
      <c r="K683" s="514"/>
      <c r="L683" s="21"/>
    </row>
    <row r="684" spans="1:13" ht="8.25" customHeight="1" x14ac:dyDescent="0.2">
      <c r="A684" s="513"/>
      <c r="B684" s="513"/>
      <c r="C684" s="513"/>
      <c r="D684" s="513"/>
      <c r="E684" s="513"/>
      <c r="F684" s="513"/>
      <c r="G684" s="447"/>
      <c r="H684" s="447"/>
      <c r="I684" s="519"/>
      <c r="J684" s="519"/>
      <c r="K684" s="519"/>
      <c r="L684" s="21"/>
    </row>
    <row r="685" spans="1:13" ht="18" customHeight="1" x14ac:dyDescent="0.2">
      <c r="A685" s="515" t="s">
        <v>622</v>
      </c>
      <c r="B685" s="515"/>
      <c r="C685" s="515"/>
      <c r="D685" s="515"/>
      <c r="E685" s="515"/>
      <c r="F685" s="515"/>
      <c r="G685" s="400"/>
      <c r="H685" s="400"/>
      <c r="I685" s="520" t="s">
        <v>623</v>
      </c>
      <c r="J685" s="520"/>
      <c r="K685" s="520"/>
      <c r="L685" s="21"/>
    </row>
    <row r="686" spans="1:13" ht="4.5" customHeight="1" x14ac:dyDescent="0.2">
      <c r="A686" s="513"/>
      <c r="B686" s="513"/>
      <c r="C686" s="513"/>
      <c r="D686" s="513"/>
      <c r="E686" s="513"/>
      <c r="F686" s="513"/>
      <c r="G686" s="447"/>
      <c r="H686" s="447"/>
      <c r="I686" s="519"/>
      <c r="J686" s="519"/>
      <c r="K686" s="519"/>
      <c r="L686" s="21"/>
    </row>
    <row r="687" spans="1:13" ht="18.75" customHeight="1" x14ac:dyDescent="0.25">
      <c r="A687" s="515" t="s">
        <v>578</v>
      </c>
      <c r="B687" s="515"/>
      <c r="C687" s="515"/>
      <c r="D687" s="515"/>
      <c r="E687" s="515"/>
      <c r="F687" s="515"/>
      <c r="G687" s="401"/>
      <c r="H687" s="401"/>
      <c r="I687" s="516" t="s">
        <v>579</v>
      </c>
      <c r="J687" s="516"/>
      <c r="K687" s="516"/>
      <c r="L687" s="21"/>
    </row>
    <row r="688" spans="1:13" ht="15.75" x14ac:dyDescent="0.2">
      <c r="A688" s="517"/>
      <c r="B688" s="517"/>
      <c r="C688" s="517"/>
      <c r="D688" s="517"/>
      <c r="E688" s="517"/>
      <c r="F688" s="517"/>
      <c r="G688" s="448"/>
      <c r="H688" s="448"/>
      <c r="I688" s="518"/>
      <c r="J688" s="518"/>
      <c r="K688" s="518"/>
      <c r="L688" s="21"/>
    </row>
    <row r="689" spans="1:12" x14ac:dyDescent="0.2">
      <c r="A689" s="17"/>
      <c r="B689" s="18"/>
      <c r="C689" s="19"/>
      <c r="D689" s="19"/>
      <c r="E689" s="20"/>
      <c r="F689" s="20"/>
      <c r="G689" s="20"/>
      <c r="H689" s="20"/>
      <c r="I689" s="20"/>
      <c r="J689" s="20"/>
      <c r="K689" s="20"/>
      <c r="L689" s="21"/>
    </row>
    <row r="690" spans="1:12" x14ac:dyDescent="0.2">
      <c r="A690" s="17"/>
      <c r="B690" s="18"/>
      <c r="C690" s="19"/>
      <c r="D690" s="19"/>
      <c r="E690" s="20"/>
      <c r="F690" s="20"/>
      <c r="G690" s="20"/>
      <c r="H690" s="20"/>
      <c r="I690" s="20"/>
      <c r="J690" s="20"/>
      <c r="K690" s="20"/>
      <c r="L690" s="21"/>
    </row>
    <row r="691" spans="1:12" x14ac:dyDescent="0.2">
      <c r="A691" s="17"/>
      <c r="B691" s="18"/>
      <c r="C691" s="19"/>
      <c r="D691" s="19"/>
      <c r="E691" s="20"/>
      <c r="F691" s="20"/>
      <c r="G691" s="20"/>
      <c r="H691" s="20"/>
      <c r="I691" s="20"/>
      <c r="J691" s="20"/>
      <c r="K691" s="20"/>
      <c r="L691" s="21"/>
    </row>
    <row r="692" spans="1:12" x14ac:dyDescent="0.2">
      <c r="A692" s="17"/>
      <c r="B692" s="18"/>
      <c r="C692" s="19"/>
      <c r="D692" s="19"/>
      <c r="E692" s="20"/>
      <c r="F692" s="20"/>
      <c r="G692" s="20"/>
      <c r="H692" s="20"/>
      <c r="I692" s="20"/>
      <c r="J692" s="20"/>
      <c r="K692" s="20"/>
      <c r="L692" s="21"/>
    </row>
    <row r="693" spans="1:12" x14ac:dyDescent="0.2">
      <c r="A693" s="17"/>
      <c r="B693" s="18"/>
      <c r="C693" s="19"/>
      <c r="D693" s="19"/>
      <c r="E693" s="20"/>
      <c r="F693" s="20"/>
      <c r="G693" s="20"/>
      <c r="H693" s="20"/>
      <c r="I693" s="20"/>
      <c r="J693" s="20"/>
      <c r="K693" s="20"/>
      <c r="L693" s="21"/>
    </row>
    <row r="694" spans="1:12" x14ac:dyDescent="0.2">
      <c r="A694" s="17"/>
      <c r="B694" s="18"/>
      <c r="C694" s="19"/>
      <c r="D694" s="19"/>
      <c r="E694" s="20"/>
      <c r="F694" s="20"/>
      <c r="G694" s="20"/>
      <c r="H694" s="20"/>
      <c r="I694" s="20"/>
      <c r="J694" s="20"/>
      <c r="K694" s="20"/>
      <c r="L694" s="21"/>
    </row>
    <row r="695" spans="1:12" x14ac:dyDescent="0.2">
      <c r="A695" s="17"/>
      <c r="B695" s="18"/>
      <c r="C695" s="19"/>
      <c r="D695" s="19"/>
      <c r="E695" s="20"/>
      <c r="F695" s="20"/>
      <c r="G695" s="20"/>
      <c r="H695" s="20"/>
      <c r="I695" s="20"/>
      <c r="J695" s="20"/>
      <c r="K695" s="20"/>
      <c r="L695" s="21"/>
    </row>
    <row r="696" spans="1:12" x14ac:dyDescent="0.2">
      <c r="A696" s="17"/>
      <c r="B696" s="18"/>
      <c r="C696" s="19"/>
      <c r="D696" s="19"/>
      <c r="E696" s="20"/>
      <c r="F696" s="20"/>
      <c r="G696" s="20"/>
      <c r="H696" s="20"/>
      <c r="I696" s="20"/>
      <c r="J696" s="20"/>
      <c r="K696" s="20"/>
      <c r="L696" s="21"/>
    </row>
    <row r="697" spans="1:12" x14ac:dyDescent="0.2">
      <c r="A697" s="17"/>
      <c r="B697" s="18"/>
      <c r="C697" s="19"/>
      <c r="D697" s="19"/>
      <c r="E697" s="20"/>
      <c r="F697" s="20"/>
      <c r="G697" s="20"/>
      <c r="H697" s="20"/>
      <c r="I697" s="20"/>
      <c r="J697" s="20"/>
      <c r="K697" s="20"/>
      <c r="L697" s="21"/>
    </row>
    <row r="698" spans="1:12" x14ac:dyDescent="0.2">
      <c r="A698" s="17"/>
      <c r="B698" s="18"/>
      <c r="C698" s="19"/>
      <c r="D698" s="19"/>
      <c r="E698" s="20"/>
      <c r="F698" s="20"/>
      <c r="G698" s="20"/>
      <c r="H698" s="20"/>
      <c r="I698" s="20"/>
      <c r="J698" s="20"/>
      <c r="K698" s="20"/>
      <c r="L698" s="21"/>
    </row>
    <row r="699" spans="1:12" x14ac:dyDescent="0.2">
      <c r="A699" s="17"/>
      <c r="B699" s="18"/>
      <c r="C699" s="19"/>
      <c r="D699" s="19"/>
      <c r="E699" s="20"/>
      <c r="F699" s="20"/>
      <c r="G699" s="20"/>
      <c r="H699" s="20"/>
      <c r="I699" s="20"/>
      <c r="J699" s="20"/>
      <c r="K699" s="20"/>
      <c r="L699" s="21"/>
    </row>
    <row r="700" spans="1:12" x14ac:dyDescent="0.2">
      <c r="A700" s="17"/>
      <c r="B700" s="18"/>
      <c r="C700" s="19"/>
      <c r="D700" s="19"/>
      <c r="E700" s="20"/>
      <c r="F700" s="20"/>
      <c r="G700" s="20"/>
      <c r="H700" s="20"/>
      <c r="I700" s="20"/>
      <c r="J700" s="20"/>
      <c r="K700" s="20"/>
      <c r="L700" s="21"/>
    </row>
    <row r="701" spans="1:12" x14ac:dyDescent="0.2">
      <c r="A701" s="17"/>
      <c r="B701" s="18"/>
      <c r="C701" s="19"/>
      <c r="D701" s="19"/>
      <c r="E701" s="20"/>
      <c r="F701" s="20"/>
      <c r="G701" s="20"/>
      <c r="H701" s="20"/>
      <c r="I701" s="20"/>
      <c r="J701" s="20"/>
      <c r="K701" s="20"/>
      <c r="L701" s="21"/>
    </row>
    <row r="702" spans="1:12" x14ac:dyDescent="0.2">
      <c r="A702" s="17"/>
      <c r="B702" s="18"/>
      <c r="C702" s="19"/>
      <c r="D702" s="19"/>
      <c r="E702" s="20"/>
      <c r="F702" s="20"/>
      <c r="G702" s="20"/>
      <c r="H702" s="20"/>
      <c r="I702" s="20"/>
      <c r="J702" s="20"/>
      <c r="K702" s="20"/>
      <c r="L702" s="21"/>
    </row>
    <row r="703" spans="1:12" x14ac:dyDescent="0.2">
      <c r="A703" s="17"/>
      <c r="B703" s="18"/>
      <c r="C703" s="19"/>
      <c r="D703" s="19"/>
      <c r="E703" s="20"/>
      <c r="F703" s="20"/>
      <c r="G703" s="20"/>
      <c r="H703" s="20"/>
      <c r="I703" s="20"/>
      <c r="J703" s="20"/>
      <c r="K703" s="20"/>
      <c r="L703" s="21"/>
    </row>
    <row r="704" spans="1:12" x14ac:dyDescent="0.2">
      <c r="A704" s="17"/>
      <c r="B704" s="18"/>
      <c r="C704" s="19"/>
      <c r="D704" s="19"/>
      <c r="E704" s="20"/>
      <c r="F704" s="20"/>
      <c r="G704" s="20"/>
      <c r="H704" s="20"/>
      <c r="I704" s="20"/>
      <c r="J704" s="20"/>
      <c r="K704" s="20"/>
      <c r="L704" s="21"/>
    </row>
    <row r="705" spans="1:12" x14ac:dyDescent="0.2">
      <c r="A705" s="17"/>
      <c r="B705" s="18"/>
      <c r="C705" s="19"/>
      <c r="D705" s="19"/>
      <c r="E705" s="20"/>
      <c r="F705" s="20"/>
      <c r="G705" s="20"/>
      <c r="H705" s="20"/>
      <c r="I705" s="20"/>
      <c r="J705" s="20"/>
      <c r="K705" s="20"/>
      <c r="L705" s="21"/>
    </row>
    <row r="706" spans="1:12" x14ac:dyDescent="0.2">
      <c r="A706" s="17"/>
      <c r="B706" s="18"/>
      <c r="C706" s="19"/>
      <c r="D706" s="19"/>
      <c r="E706" s="20"/>
      <c r="F706" s="20"/>
      <c r="G706" s="20"/>
      <c r="H706" s="20"/>
      <c r="I706" s="20"/>
      <c r="J706" s="20"/>
      <c r="K706" s="20"/>
      <c r="L706" s="21"/>
    </row>
    <row r="707" spans="1:12" x14ac:dyDescent="0.2">
      <c r="A707" s="17"/>
      <c r="B707" s="18"/>
      <c r="C707" s="19"/>
      <c r="D707" s="19"/>
      <c r="E707" s="20"/>
      <c r="F707" s="20"/>
      <c r="G707" s="20"/>
      <c r="H707" s="20"/>
      <c r="I707" s="20"/>
      <c r="J707" s="20"/>
      <c r="K707" s="20"/>
      <c r="L707" s="21"/>
    </row>
    <row r="708" spans="1:12" x14ac:dyDescent="0.2">
      <c r="A708" s="17"/>
      <c r="B708" s="18"/>
      <c r="C708" s="19"/>
      <c r="D708" s="19"/>
      <c r="E708" s="20"/>
      <c r="F708" s="20"/>
      <c r="G708" s="20"/>
      <c r="H708" s="20"/>
      <c r="I708" s="20"/>
      <c r="J708" s="20"/>
      <c r="K708" s="20"/>
      <c r="L708" s="21"/>
    </row>
    <row r="709" spans="1:12" x14ac:dyDescent="0.2">
      <c r="A709" s="17"/>
      <c r="B709" s="18"/>
      <c r="C709" s="19"/>
      <c r="D709" s="19"/>
      <c r="E709" s="20"/>
      <c r="F709" s="20"/>
      <c r="G709" s="20"/>
      <c r="H709" s="20"/>
      <c r="I709" s="20"/>
      <c r="J709" s="20"/>
      <c r="K709" s="20"/>
      <c r="L709" s="21"/>
    </row>
    <row r="710" spans="1:12" x14ac:dyDescent="0.2">
      <c r="A710" s="17"/>
      <c r="B710" s="18"/>
      <c r="C710" s="19"/>
      <c r="D710" s="19"/>
      <c r="E710" s="20"/>
      <c r="F710" s="20"/>
      <c r="G710" s="20"/>
      <c r="H710" s="20"/>
      <c r="I710" s="20"/>
      <c r="J710" s="20"/>
      <c r="K710" s="20"/>
      <c r="L710" s="21"/>
    </row>
    <row r="711" spans="1:12" x14ac:dyDescent="0.2">
      <c r="A711" s="17"/>
      <c r="B711" s="18"/>
      <c r="C711" s="19"/>
      <c r="D711" s="19"/>
      <c r="E711" s="20"/>
      <c r="F711" s="20"/>
      <c r="G711" s="20"/>
      <c r="H711" s="20"/>
      <c r="I711" s="20"/>
      <c r="J711" s="20"/>
      <c r="K711" s="20"/>
      <c r="L711" s="21"/>
    </row>
    <row r="712" spans="1:12" x14ac:dyDescent="0.2">
      <c r="A712" s="17"/>
      <c r="B712" s="18"/>
      <c r="C712" s="19"/>
      <c r="D712" s="19"/>
      <c r="E712" s="20"/>
      <c r="F712" s="20"/>
      <c r="G712" s="20"/>
      <c r="H712" s="20"/>
      <c r="I712" s="20"/>
      <c r="J712" s="20"/>
      <c r="K712" s="20"/>
      <c r="L712" s="21"/>
    </row>
    <row r="713" spans="1:12" x14ac:dyDescent="0.2">
      <c r="A713" s="17"/>
      <c r="B713" s="18"/>
      <c r="C713" s="19"/>
      <c r="D713" s="19"/>
      <c r="E713" s="20"/>
      <c r="F713" s="20"/>
      <c r="G713" s="20"/>
      <c r="H713" s="20"/>
      <c r="I713" s="20"/>
      <c r="J713" s="20"/>
      <c r="K713" s="20"/>
      <c r="L713" s="21"/>
    </row>
    <row r="714" spans="1:12" x14ac:dyDescent="0.2">
      <c r="A714" s="17"/>
      <c r="B714" s="18"/>
      <c r="C714" s="19"/>
      <c r="D714" s="19"/>
      <c r="E714" s="20"/>
      <c r="F714" s="20"/>
      <c r="G714" s="20"/>
      <c r="H714" s="20"/>
      <c r="I714" s="20"/>
      <c r="J714" s="20"/>
      <c r="K714" s="20"/>
      <c r="L714" s="21"/>
    </row>
    <row r="715" spans="1:12" x14ac:dyDescent="0.2">
      <c r="A715" s="17"/>
      <c r="B715" s="18"/>
      <c r="C715" s="19"/>
      <c r="D715" s="19"/>
      <c r="E715" s="20"/>
      <c r="F715" s="20"/>
      <c r="G715" s="20"/>
      <c r="H715" s="20"/>
      <c r="I715" s="20"/>
      <c r="J715" s="20"/>
      <c r="K715" s="20"/>
      <c r="L715" s="21"/>
    </row>
    <row r="716" spans="1:12" x14ac:dyDescent="0.2">
      <c r="A716" s="17"/>
      <c r="B716" s="18"/>
      <c r="C716" s="19"/>
      <c r="D716" s="19"/>
      <c r="E716" s="20"/>
      <c r="F716" s="20"/>
      <c r="G716" s="20"/>
      <c r="H716" s="20"/>
      <c r="I716" s="20"/>
      <c r="J716" s="20"/>
      <c r="K716" s="20"/>
      <c r="L716" s="21"/>
    </row>
    <row r="717" spans="1:12" x14ac:dyDescent="0.2">
      <c r="A717" s="17"/>
      <c r="B717" s="18"/>
      <c r="C717" s="19"/>
      <c r="D717" s="19"/>
      <c r="E717" s="20"/>
      <c r="F717" s="20"/>
      <c r="G717" s="20"/>
      <c r="H717" s="20"/>
      <c r="I717" s="20"/>
      <c r="J717" s="20"/>
      <c r="K717" s="20"/>
      <c r="L717" s="21"/>
    </row>
    <row r="718" spans="1:12" x14ac:dyDescent="0.2">
      <c r="A718" s="17"/>
      <c r="B718" s="18"/>
      <c r="C718" s="19"/>
      <c r="D718" s="19"/>
      <c r="E718" s="20"/>
      <c r="F718" s="20"/>
      <c r="G718" s="20"/>
      <c r="H718" s="20"/>
      <c r="I718" s="20"/>
      <c r="J718" s="20"/>
      <c r="K718" s="20"/>
      <c r="L718" s="21"/>
    </row>
    <row r="719" spans="1:12" x14ac:dyDescent="0.2">
      <c r="A719" s="17"/>
      <c r="B719" s="18"/>
      <c r="C719" s="19"/>
      <c r="D719" s="19"/>
      <c r="E719" s="20"/>
      <c r="F719" s="20"/>
      <c r="G719" s="20"/>
      <c r="H719" s="20"/>
      <c r="I719" s="20"/>
      <c r="J719" s="20"/>
      <c r="K719" s="20"/>
      <c r="L719" s="21"/>
    </row>
    <row r="720" spans="1:12" x14ac:dyDescent="0.2">
      <c r="A720" s="17"/>
      <c r="B720" s="18"/>
      <c r="C720" s="19"/>
      <c r="D720" s="19"/>
      <c r="E720" s="20"/>
      <c r="F720" s="20"/>
      <c r="G720" s="20"/>
      <c r="H720" s="20"/>
      <c r="I720" s="20"/>
      <c r="J720" s="20"/>
      <c r="K720" s="20"/>
      <c r="L720" s="21"/>
    </row>
    <row r="721" spans="1:12" x14ac:dyDescent="0.2">
      <c r="A721" s="17"/>
      <c r="B721" s="18"/>
      <c r="C721" s="19"/>
      <c r="D721" s="19"/>
      <c r="E721" s="20"/>
      <c r="F721" s="20"/>
      <c r="G721" s="20"/>
      <c r="H721" s="20"/>
      <c r="I721" s="20"/>
      <c r="J721" s="20"/>
      <c r="K721" s="20"/>
      <c r="L721" s="21"/>
    </row>
    <row r="722" spans="1:12" x14ac:dyDescent="0.2">
      <c r="A722" s="17"/>
      <c r="B722" s="18"/>
      <c r="C722" s="19"/>
      <c r="D722" s="19"/>
      <c r="E722" s="20"/>
      <c r="F722" s="20"/>
      <c r="G722" s="20"/>
      <c r="H722" s="20"/>
      <c r="I722" s="20"/>
      <c r="J722" s="20"/>
      <c r="K722" s="20"/>
      <c r="L722" s="21"/>
    </row>
    <row r="723" spans="1:12" x14ac:dyDescent="0.2">
      <c r="A723" s="17"/>
      <c r="B723" s="18"/>
      <c r="C723" s="19"/>
      <c r="D723" s="19"/>
      <c r="E723" s="20"/>
      <c r="F723" s="20"/>
      <c r="G723" s="20"/>
      <c r="H723" s="20"/>
      <c r="I723" s="20"/>
      <c r="J723" s="20"/>
      <c r="K723" s="20"/>
      <c r="L723" s="21"/>
    </row>
    <row r="724" spans="1:12" x14ac:dyDescent="0.2">
      <c r="A724" s="17"/>
      <c r="B724" s="18"/>
      <c r="C724" s="19"/>
      <c r="D724" s="19"/>
      <c r="E724" s="20"/>
      <c r="F724" s="20"/>
      <c r="G724" s="20"/>
      <c r="H724" s="20"/>
      <c r="I724" s="20"/>
      <c r="J724" s="20"/>
      <c r="K724" s="20"/>
      <c r="L724" s="21"/>
    </row>
    <row r="725" spans="1:12" x14ac:dyDescent="0.2">
      <c r="A725" s="17"/>
      <c r="B725" s="18"/>
      <c r="C725" s="19"/>
      <c r="D725" s="19"/>
      <c r="E725" s="20"/>
      <c r="F725" s="20"/>
      <c r="G725" s="20"/>
      <c r="H725" s="20"/>
      <c r="I725" s="20"/>
      <c r="J725" s="20"/>
      <c r="K725" s="20"/>
      <c r="L725" s="21"/>
    </row>
    <row r="726" spans="1:12" x14ac:dyDescent="0.2">
      <c r="A726" s="17"/>
      <c r="B726" s="18"/>
      <c r="C726" s="19"/>
      <c r="D726" s="19"/>
      <c r="E726" s="20"/>
      <c r="F726" s="20"/>
      <c r="G726" s="20"/>
      <c r="H726" s="20"/>
      <c r="I726" s="20"/>
      <c r="J726" s="20"/>
      <c r="K726" s="20"/>
      <c r="L726" s="21"/>
    </row>
    <row r="727" spans="1:12" x14ac:dyDescent="0.2">
      <c r="A727" s="17"/>
      <c r="B727" s="18"/>
      <c r="C727" s="19"/>
      <c r="D727" s="19"/>
      <c r="E727" s="20"/>
      <c r="F727" s="20"/>
      <c r="G727" s="20"/>
      <c r="H727" s="20"/>
      <c r="I727" s="20"/>
      <c r="J727" s="20"/>
      <c r="K727" s="20"/>
      <c r="L727" s="21"/>
    </row>
    <row r="728" spans="1:12" x14ac:dyDescent="0.2">
      <c r="A728" s="17"/>
      <c r="B728" s="18"/>
      <c r="C728" s="19"/>
      <c r="D728" s="19"/>
      <c r="E728" s="20"/>
      <c r="F728" s="20"/>
      <c r="G728" s="20"/>
      <c r="H728" s="20"/>
      <c r="I728" s="20"/>
      <c r="J728" s="20"/>
      <c r="K728" s="20"/>
      <c r="L728" s="21"/>
    </row>
    <row r="729" spans="1:12" x14ac:dyDescent="0.2">
      <c r="A729" s="17"/>
      <c r="B729" s="18"/>
      <c r="C729" s="19"/>
      <c r="D729" s="19"/>
      <c r="E729" s="20"/>
      <c r="F729" s="20"/>
      <c r="G729" s="20"/>
      <c r="H729" s="20"/>
      <c r="I729" s="20"/>
      <c r="J729" s="20"/>
      <c r="K729" s="20"/>
      <c r="L729" s="21"/>
    </row>
    <row r="730" spans="1:12" x14ac:dyDescent="0.2">
      <c r="A730" s="17"/>
      <c r="B730" s="18"/>
      <c r="C730" s="19"/>
      <c r="D730" s="19"/>
      <c r="E730" s="20"/>
      <c r="F730" s="20"/>
      <c r="G730" s="20"/>
      <c r="H730" s="20"/>
      <c r="I730" s="20"/>
      <c r="J730" s="20"/>
      <c r="K730" s="20"/>
      <c r="L730" s="21"/>
    </row>
    <row r="731" spans="1:12" x14ac:dyDescent="0.2">
      <c r="A731" s="17"/>
      <c r="B731" s="18"/>
      <c r="C731" s="19"/>
      <c r="D731" s="19"/>
      <c r="E731" s="20"/>
      <c r="F731" s="20"/>
      <c r="G731" s="20"/>
      <c r="H731" s="20"/>
      <c r="I731" s="20"/>
      <c r="J731" s="20"/>
      <c r="K731" s="20"/>
      <c r="L731" s="21"/>
    </row>
    <row r="732" spans="1:12" x14ac:dyDescent="0.2">
      <c r="A732" s="17"/>
      <c r="B732" s="18"/>
      <c r="C732" s="19"/>
      <c r="D732" s="19"/>
      <c r="E732" s="20"/>
      <c r="F732" s="20"/>
      <c r="G732" s="20"/>
      <c r="H732" s="20"/>
      <c r="I732" s="20"/>
      <c r="J732" s="20"/>
      <c r="K732" s="20"/>
      <c r="L732" s="21"/>
    </row>
    <row r="733" spans="1:12" x14ac:dyDescent="0.2">
      <c r="A733" s="17"/>
      <c r="B733" s="18"/>
      <c r="C733" s="19"/>
      <c r="D733" s="19"/>
      <c r="E733" s="20"/>
      <c r="F733" s="20"/>
      <c r="G733" s="20"/>
      <c r="H733" s="20"/>
      <c r="I733" s="20"/>
      <c r="J733" s="20"/>
      <c r="K733" s="20"/>
      <c r="L733" s="21"/>
    </row>
    <row r="734" spans="1:12" x14ac:dyDescent="0.2">
      <c r="A734" s="17"/>
      <c r="B734" s="18"/>
      <c r="C734" s="19"/>
      <c r="D734" s="19"/>
      <c r="E734" s="20"/>
      <c r="F734" s="20"/>
      <c r="G734" s="20"/>
      <c r="H734" s="20"/>
      <c r="I734" s="20"/>
      <c r="J734" s="20"/>
      <c r="K734" s="20"/>
      <c r="L734" s="21"/>
    </row>
    <row r="735" spans="1:12" x14ac:dyDescent="0.2">
      <c r="A735" s="17"/>
      <c r="B735" s="18"/>
      <c r="C735" s="19"/>
      <c r="D735" s="19"/>
      <c r="E735" s="20"/>
      <c r="F735" s="20"/>
      <c r="G735" s="20"/>
      <c r="H735" s="20"/>
      <c r="I735" s="20"/>
      <c r="J735" s="20"/>
      <c r="K735" s="20"/>
      <c r="L735" s="21"/>
    </row>
    <row r="736" spans="1:12" x14ac:dyDescent="0.2">
      <c r="A736" s="17"/>
      <c r="B736" s="18"/>
      <c r="C736" s="19"/>
      <c r="D736" s="19"/>
      <c r="E736" s="20"/>
      <c r="F736" s="20"/>
      <c r="G736" s="20"/>
      <c r="H736" s="20"/>
      <c r="I736" s="20"/>
      <c r="J736" s="20"/>
      <c r="K736" s="20"/>
      <c r="L736" s="21"/>
    </row>
    <row r="737" spans="1:12" x14ac:dyDescent="0.2">
      <c r="A737" s="17"/>
      <c r="B737" s="18"/>
      <c r="C737" s="19"/>
      <c r="D737" s="19"/>
      <c r="E737" s="20"/>
      <c r="F737" s="20"/>
      <c r="G737" s="20"/>
      <c r="H737" s="20"/>
      <c r="I737" s="20"/>
      <c r="J737" s="20"/>
      <c r="K737" s="20"/>
      <c r="L737" s="21"/>
    </row>
    <row r="738" spans="1:12" x14ac:dyDescent="0.2">
      <c r="A738" s="17"/>
      <c r="B738" s="18"/>
      <c r="C738" s="19"/>
      <c r="D738" s="19"/>
      <c r="E738" s="20"/>
      <c r="F738" s="20"/>
      <c r="G738" s="20"/>
      <c r="H738" s="20"/>
      <c r="I738" s="20"/>
      <c r="J738" s="20"/>
      <c r="K738" s="20"/>
      <c r="L738" s="21"/>
    </row>
    <row r="739" spans="1:12" x14ac:dyDescent="0.2">
      <c r="A739" s="17"/>
      <c r="B739" s="18"/>
      <c r="C739" s="19"/>
      <c r="D739" s="19"/>
      <c r="E739" s="20"/>
      <c r="F739" s="20"/>
      <c r="G739" s="20"/>
      <c r="H739" s="20"/>
      <c r="I739" s="20"/>
      <c r="J739" s="20"/>
      <c r="K739" s="20"/>
      <c r="L739" s="21"/>
    </row>
    <row r="740" spans="1:12" x14ac:dyDescent="0.2">
      <c r="A740" s="17"/>
      <c r="B740" s="18"/>
      <c r="C740" s="19"/>
      <c r="D740" s="19"/>
      <c r="E740" s="20"/>
      <c r="F740" s="20"/>
      <c r="G740" s="20"/>
      <c r="H740" s="20"/>
      <c r="I740" s="20"/>
      <c r="J740" s="20"/>
      <c r="K740" s="20"/>
      <c r="L740" s="21"/>
    </row>
    <row r="741" spans="1:12" x14ac:dyDescent="0.2">
      <c r="A741" s="17"/>
      <c r="B741" s="18"/>
      <c r="C741" s="19"/>
      <c r="D741" s="19"/>
      <c r="E741" s="20"/>
      <c r="F741" s="20"/>
      <c r="G741" s="20"/>
      <c r="H741" s="20"/>
      <c r="I741" s="20"/>
      <c r="J741" s="20"/>
      <c r="K741" s="20"/>
      <c r="L741" s="21"/>
    </row>
    <row r="742" spans="1:12" x14ac:dyDescent="0.2">
      <c r="A742" s="17"/>
      <c r="B742" s="18"/>
      <c r="C742" s="19"/>
      <c r="D742" s="19"/>
      <c r="E742" s="20"/>
      <c r="F742" s="20"/>
      <c r="G742" s="20"/>
      <c r="H742" s="20"/>
      <c r="I742" s="20"/>
      <c r="J742" s="20"/>
      <c r="K742" s="20"/>
      <c r="L742" s="21"/>
    </row>
    <row r="743" spans="1:12" x14ac:dyDescent="0.2">
      <c r="A743" s="17"/>
      <c r="B743" s="18"/>
      <c r="C743" s="19"/>
      <c r="D743" s="19"/>
      <c r="E743" s="20"/>
      <c r="F743" s="20"/>
      <c r="G743" s="20"/>
      <c r="H743" s="20"/>
      <c r="I743" s="20"/>
      <c r="J743" s="20"/>
      <c r="K743" s="20"/>
      <c r="L743" s="21"/>
    </row>
    <row r="744" spans="1:12" x14ac:dyDescent="0.2">
      <c r="A744" s="17"/>
      <c r="B744" s="18"/>
      <c r="C744" s="19"/>
      <c r="D744" s="19"/>
      <c r="E744" s="20"/>
      <c r="F744" s="20"/>
      <c r="G744" s="20"/>
      <c r="H744" s="20"/>
      <c r="I744" s="20"/>
      <c r="J744" s="20"/>
      <c r="K744" s="20"/>
      <c r="L744" s="21"/>
    </row>
    <row r="745" spans="1:12" x14ac:dyDescent="0.2">
      <c r="A745" s="17"/>
      <c r="B745" s="18"/>
      <c r="C745" s="19"/>
      <c r="D745" s="19"/>
      <c r="E745" s="20"/>
      <c r="F745" s="20"/>
      <c r="G745" s="20"/>
      <c r="H745" s="20"/>
      <c r="I745" s="20"/>
      <c r="J745" s="20"/>
      <c r="K745" s="20"/>
      <c r="L745" s="21"/>
    </row>
    <row r="746" spans="1:12" x14ac:dyDescent="0.2">
      <c r="A746" s="17"/>
      <c r="B746" s="18"/>
      <c r="C746" s="19"/>
      <c r="D746" s="19"/>
      <c r="E746" s="20"/>
      <c r="F746" s="20"/>
      <c r="G746" s="20"/>
      <c r="H746" s="20"/>
      <c r="I746" s="20"/>
      <c r="J746" s="20"/>
      <c r="K746" s="20"/>
      <c r="L746" s="21"/>
    </row>
    <row r="747" spans="1:12" x14ac:dyDescent="0.2">
      <c r="A747" s="17"/>
      <c r="B747" s="18"/>
      <c r="C747" s="19"/>
      <c r="D747" s="19"/>
      <c r="E747" s="20"/>
      <c r="F747" s="20"/>
      <c r="G747" s="20"/>
      <c r="H747" s="20"/>
      <c r="I747" s="20"/>
      <c r="J747" s="20"/>
      <c r="K747" s="20"/>
      <c r="L747" s="21"/>
    </row>
    <row r="748" spans="1:12" x14ac:dyDescent="0.2">
      <c r="A748" s="17"/>
      <c r="B748" s="18"/>
      <c r="C748" s="19"/>
      <c r="D748" s="19"/>
      <c r="E748" s="20"/>
      <c r="F748" s="20"/>
      <c r="G748" s="20"/>
      <c r="H748" s="20"/>
      <c r="I748" s="20"/>
      <c r="J748" s="20"/>
      <c r="K748" s="20"/>
      <c r="L748" s="21"/>
    </row>
    <row r="749" spans="1:12" x14ac:dyDescent="0.2">
      <c r="A749" s="17"/>
      <c r="B749" s="18"/>
      <c r="C749" s="19"/>
      <c r="D749" s="19"/>
      <c r="E749" s="20"/>
      <c r="F749" s="20"/>
      <c r="G749" s="20"/>
      <c r="H749" s="20"/>
      <c r="I749" s="20"/>
      <c r="J749" s="20"/>
      <c r="K749" s="20"/>
      <c r="L749" s="21"/>
    </row>
    <row r="750" spans="1:12" x14ac:dyDescent="0.2">
      <c r="A750" s="17"/>
      <c r="B750" s="18"/>
      <c r="C750" s="19"/>
      <c r="D750" s="19"/>
      <c r="E750" s="20"/>
      <c r="F750" s="20"/>
      <c r="G750" s="20"/>
      <c r="H750" s="20"/>
      <c r="I750" s="20"/>
      <c r="J750" s="20"/>
      <c r="K750" s="20"/>
      <c r="L750" s="21"/>
    </row>
    <row r="751" spans="1:12" x14ac:dyDescent="0.2">
      <c r="A751" s="17"/>
      <c r="B751" s="18"/>
      <c r="C751" s="19"/>
      <c r="D751" s="19"/>
      <c r="E751" s="20"/>
      <c r="F751" s="20"/>
      <c r="G751" s="20"/>
      <c r="H751" s="20"/>
      <c r="I751" s="20"/>
      <c r="J751" s="20"/>
      <c r="K751" s="20"/>
      <c r="L751" s="21"/>
    </row>
    <row r="752" spans="1:12" x14ac:dyDescent="0.2">
      <c r="A752" s="17"/>
      <c r="B752" s="18"/>
      <c r="C752" s="19"/>
      <c r="D752" s="19"/>
      <c r="E752" s="20"/>
      <c r="F752" s="20"/>
      <c r="G752" s="20"/>
      <c r="H752" s="20"/>
      <c r="I752" s="20"/>
      <c r="J752" s="20"/>
      <c r="K752" s="20"/>
      <c r="L752" s="21"/>
    </row>
    <row r="753" spans="1:12" x14ac:dyDescent="0.2">
      <c r="A753" s="17"/>
      <c r="B753" s="18"/>
      <c r="C753" s="19"/>
      <c r="D753" s="19"/>
      <c r="E753" s="20"/>
      <c r="F753" s="20"/>
      <c r="G753" s="20"/>
      <c r="H753" s="20"/>
      <c r="I753" s="20"/>
      <c r="J753" s="20"/>
      <c r="K753" s="20"/>
      <c r="L753" s="21"/>
    </row>
    <row r="754" spans="1:12" x14ac:dyDescent="0.2">
      <c r="A754" s="17"/>
      <c r="B754" s="18"/>
      <c r="C754" s="19"/>
      <c r="D754" s="19"/>
      <c r="E754" s="20"/>
      <c r="F754" s="20"/>
      <c r="G754" s="20"/>
      <c r="H754" s="20"/>
      <c r="I754" s="20"/>
      <c r="J754" s="20"/>
      <c r="K754" s="20"/>
      <c r="L754" s="21"/>
    </row>
    <row r="755" spans="1:12" x14ac:dyDescent="0.2">
      <c r="A755" s="17"/>
      <c r="B755" s="18"/>
      <c r="C755" s="19"/>
      <c r="D755" s="19"/>
      <c r="E755" s="20"/>
      <c r="F755" s="20"/>
      <c r="G755" s="20"/>
      <c r="H755" s="20"/>
      <c r="I755" s="20"/>
      <c r="J755" s="20"/>
      <c r="K755" s="20"/>
      <c r="L755" s="21"/>
    </row>
    <row r="756" spans="1:12" x14ac:dyDescent="0.2">
      <c r="A756" s="17"/>
      <c r="B756" s="18"/>
      <c r="C756" s="19"/>
      <c r="D756" s="19"/>
      <c r="E756" s="20"/>
      <c r="F756" s="20"/>
      <c r="G756" s="20"/>
      <c r="H756" s="20"/>
      <c r="I756" s="20"/>
      <c r="J756" s="20"/>
      <c r="K756" s="20"/>
      <c r="L756" s="21"/>
    </row>
    <row r="757" spans="1:12" x14ac:dyDescent="0.2">
      <c r="A757" s="17"/>
      <c r="B757" s="18"/>
      <c r="C757" s="19"/>
      <c r="D757" s="19"/>
      <c r="E757" s="20"/>
      <c r="F757" s="20"/>
      <c r="G757" s="20"/>
      <c r="H757" s="20"/>
      <c r="I757" s="20"/>
      <c r="J757" s="20"/>
      <c r="K757" s="20"/>
      <c r="L757" s="21"/>
    </row>
    <row r="758" spans="1:12" x14ac:dyDescent="0.2">
      <c r="A758" s="17"/>
      <c r="B758" s="18"/>
      <c r="C758" s="19"/>
      <c r="D758" s="19"/>
      <c r="E758" s="20"/>
      <c r="F758" s="20"/>
      <c r="G758" s="20"/>
      <c r="H758" s="20"/>
      <c r="I758" s="20"/>
      <c r="J758" s="20"/>
      <c r="K758" s="20"/>
      <c r="L758" s="21"/>
    </row>
    <row r="759" spans="1:12" x14ac:dyDescent="0.2">
      <c r="A759" s="17"/>
      <c r="B759" s="18"/>
      <c r="C759" s="19"/>
      <c r="D759" s="19"/>
      <c r="E759" s="20"/>
      <c r="F759" s="20"/>
      <c r="G759" s="20"/>
      <c r="H759" s="20"/>
      <c r="I759" s="20"/>
      <c r="J759" s="20"/>
      <c r="K759" s="20"/>
      <c r="L759" s="21"/>
    </row>
    <row r="760" spans="1:12" x14ac:dyDescent="0.2">
      <c r="A760" s="17"/>
      <c r="B760" s="18"/>
      <c r="C760" s="19"/>
      <c r="D760" s="19"/>
      <c r="E760" s="20"/>
      <c r="F760" s="20"/>
      <c r="G760" s="20"/>
      <c r="H760" s="20"/>
      <c r="I760" s="20"/>
      <c r="J760" s="20"/>
      <c r="K760" s="20"/>
      <c r="L760" s="21"/>
    </row>
    <row r="761" spans="1:12" x14ac:dyDescent="0.2">
      <c r="A761" s="17"/>
      <c r="B761" s="18"/>
      <c r="C761" s="19"/>
      <c r="D761" s="19"/>
      <c r="E761" s="20"/>
      <c r="F761" s="20"/>
      <c r="G761" s="20"/>
      <c r="H761" s="20"/>
      <c r="I761" s="20"/>
      <c r="J761" s="20"/>
      <c r="K761" s="20"/>
      <c r="L761" s="21"/>
    </row>
    <row r="762" spans="1:12" x14ac:dyDescent="0.2">
      <c r="A762" s="17"/>
      <c r="B762" s="18"/>
      <c r="C762" s="19"/>
      <c r="D762" s="19"/>
      <c r="E762" s="20"/>
      <c r="F762" s="20"/>
      <c r="G762" s="20"/>
      <c r="H762" s="20"/>
      <c r="I762" s="20"/>
      <c r="J762" s="20"/>
      <c r="K762" s="20"/>
      <c r="L762" s="21"/>
    </row>
    <row r="763" spans="1:12" x14ac:dyDescent="0.2">
      <c r="A763" s="17"/>
      <c r="B763" s="18"/>
      <c r="C763" s="19"/>
      <c r="D763" s="19"/>
      <c r="E763" s="20"/>
      <c r="F763" s="20"/>
      <c r="G763" s="20"/>
      <c r="H763" s="20"/>
      <c r="I763" s="20"/>
      <c r="J763" s="20"/>
      <c r="K763" s="20"/>
      <c r="L763" s="21"/>
    </row>
    <row r="764" spans="1:12" x14ac:dyDescent="0.2">
      <c r="A764" s="17"/>
      <c r="B764" s="18"/>
      <c r="C764" s="19"/>
      <c r="D764" s="19"/>
      <c r="E764" s="20"/>
      <c r="F764" s="20"/>
      <c r="G764" s="20"/>
      <c r="H764" s="20"/>
      <c r="I764" s="20"/>
      <c r="J764" s="20"/>
      <c r="K764" s="20"/>
      <c r="L764" s="21"/>
    </row>
    <row r="765" spans="1:12" x14ac:dyDescent="0.2">
      <c r="A765" s="17"/>
      <c r="B765" s="18"/>
      <c r="C765" s="19"/>
      <c r="D765" s="19"/>
      <c r="E765" s="20"/>
      <c r="F765" s="20"/>
      <c r="G765" s="20"/>
      <c r="H765" s="20"/>
      <c r="I765" s="20"/>
      <c r="J765" s="20"/>
      <c r="K765" s="20"/>
      <c r="L765" s="21"/>
    </row>
    <row r="766" spans="1:12" x14ac:dyDescent="0.2">
      <c r="A766" s="17"/>
      <c r="B766" s="18"/>
      <c r="C766" s="19"/>
      <c r="D766" s="19"/>
      <c r="E766" s="20"/>
      <c r="F766" s="20"/>
      <c r="G766" s="20"/>
      <c r="H766" s="20"/>
      <c r="I766" s="20"/>
      <c r="J766" s="20"/>
      <c r="K766" s="20"/>
      <c r="L766" s="21"/>
    </row>
    <row r="767" spans="1:12" x14ac:dyDescent="0.2">
      <c r="A767" s="17"/>
      <c r="B767" s="18"/>
      <c r="C767" s="19"/>
      <c r="D767" s="19"/>
      <c r="E767" s="20"/>
      <c r="F767" s="20"/>
      <c r="G767" s="20"/>
      <c r="H767" s="20"/>
      <c r="I767" s="20"/>
      <c r="J767" s="20"/>
      <c r="K767" s="20"/>
      <c r="L767" s="21"/>
    </row>
    <row r="768" spans="1:12" x14ac:dyDescent="0.2">
      <c r="A768" s="17"/>
      <c r="B768" s="18"/>
      <c r="C768" s="19"/>
      <c r="D768" s="19"/>
      <c r="E768" s="20"/>
      <c r="F768" s="20"/>
      <c r="G768" s="20"/>
      <c r="H768" s="20"/>
      <c r="I768" s="20"/>
      <c r="J768" s="20"/>
      <c r="K768" s="20"/>
      <c r="L768" s="21"/>
    </row>
    <row r="769" spans="1:12" x14ac:dyDescent="0.2">
      <c r="A769" s="17"/>
      <c r="B769" s="18"/>
      <c r="C769" s="19"/>
      <c r="D769" s="19"/>
      <c r="E769" s="20"/>
      <c r="F769" s="20"/>
      <c r="G769" s="20"/>
      <c r="H769" s="20"/>
      <c r="I769" s="20"/>
      <c r="J769" s="20"/>
      <c r="K769" s="20"/>
      <c r="L769" s="21"/>
    </row>
    <row r="770" spans="1:12" x14ac:dyDescent="0.2">
      <c r="A770" s="17"/>
      <c r="B770" s="18"/>
      <c r="C770" s="19"/>
      <c r="D770" s="19"/>
      <c r="E770" s="20"/>
      <c r="F770" s="20"/>
      <c r="G770" s="20"/>
      <c r="H770" s="20"/>
      <c r="I770" s="20"/>
      <c r="J770" s="20"/>
      <c r="K770" s="20"/>
      <c r="L770" s="21"/>
    </row>
    <row r="771" spans="1:12" x14ac:dyDescent="0.2">
      <c r="A771" s="17"/>
      <c r="B771" s="18"/>
      <c r="C771" s="19"/>
      <c r="D771" s="19"/>
      <c r="E771" s="20"/>
      <c r="F771" s="20"/>
      <c r="G771" s="20"/>
      <c r="H771" s="20"/>
      <c r="I771" s="20"/>
      <c r="J771" s="20"/>
      <c r="K771" s="20"/>
      <c r="L771" s="21"/>
    </row>
    <row r="772" spans="1:12" x14ac:dyDescent="0.2">
      <c r="A772" s="17"/>
      <c r="B772" s="18"/>
      <c r="C772" s="19"/>
      <c r="D772" s="19"/>
      <c r="E772" s="20"/>
      <c r="F772" s="20"/>
      <c r="G772" s="20"/>
      <c r="H772" s="20"/>
      <c r="I772" s="20"/>
      <c r="J772" s="20"/>
      <c r="K772" s="20"/>
      <c r="L772" s="21"/>
    </row>
    <row r="773" spans="1:12" x14ac:dyDescent="0.2">
      <c r="A773" s="17"/>
      <c r="B773" s="18"/>
      <c r="C773" s="19"/>
      <c r="D773" s="19"/>
      <c r="E773" s="20"/>
      <c r="F773" s="20"/>
      <c r="G773" s="20"/>
      <c r="H773" s="20"/>
      <c r="I773" s="20"/>
      <c r="J773" s="20"/>
      <c r="K773" s="20"/>
      <c r="L773" s="21"/>
    </row>
    <row r="774" spans="1:12" x14ac:dyDescent="0.2">
      <c r="A774" s="17"/>
      <c r="B774" s="18"/>
      <c r="C774" s="19"/>
      <c r="D774" s="19"/>
      <c r="E774" s="20"/>
      <c r="F774" s="20"/>
      <c r="G774" s="20"/>
      <c r="H774" s="20"/>
      <c r="I774" s="20"/>
      <c r="J774" s="20"/>
      <c r="K774" s="20"/>
      <c r="L774" s="21"/>
    </row>
    <row r="775" spans="1:12" x14ac:dyDescent="0.2">
      <c r="A775" s="17"/>
      <c r="B775" s="18"/>
      <c r="C775" s="19"/>
      <c r="D775" s="19"/>
      <c r="E775" s="20"/>
      <c r="F775" s="20"/>
      <c r="G775" s="20"/>
      <c r="H775" s="20"/>
      <c r="I775" s="20"/>
      <c r="J775" s="20"/>
      <c r="K775" s="20"/>
      <c r="L775" s="21"/>
    </row>
    <row r="776" spans="1:12" x14ac:dyDescent="0.2">
      <c r="A776" s="17"/>
      <c r="B776" s="18"/>
      <c r="C776" s="19"/>
      <c r="D776" s="19"/>
      <c r="E776" s="20"/>
      <c r="F776" s="20"/>
      <c r="G776" s="20"/>
      <c r="H776" s="20"/>
      <c r="I776" s="20"/>
      <c r="J776" s="20"/>
      <c r="K776" s="20"/>
      <c r="L776" s="21"/>
    </row>
    <row r="777" spans="1:12" x14ac:dyDescent="0.2">
      <c r="A777" s="17"/>
      <c r="B777" s="18"/>
      <c r="C777" s="19"/>
      <c r="D777" s="19"/>
      <c r="E777" s="20"/>
      <c r="F777" s="20"/>
      <c r="G777" s="20"/>
      <c r="H777" s="20"/>
      <c r="I777" s="20"/>
      <c r="J777" s="20"/>
      <c r="K777" s="20"/>
      <c r="L777" s="21"/>
    </row>
    <row r="778" spans="1:12" x14ac:dyDescent="0.2">
      <c r="A778" s="17"/>
      <c r="B778" s="18"/>
      <c r="C778" s="19"/>
      <c r="D778" s="19"/>
      <c r="E778" s="20"/>
      <c r="F778" s="20"/>
      <c r="G778" s="20"/>
      <c r="H778" s="20"/>
      <c r="I778" s="20"/>
      <c r="J778" s="20"/>
      <c r="K778" s="20"/>
      <c r="L778" s="21"/>
    </row>
    <row r="779" spans="1:12" x14ac:dyDescent="0.2">
      <c r="A779" s="17"/>
      <c r="B779" s="18"/>
      <c r="C779" s="19"/>
      <c r="D779" s="19"/>
      <c r="E779" s="20"/>
      <c r="F779" s="20"/>
      <c r="G779" s="20"/>
      <c r="H779" s="20"/>
      <c r="I779" s="20"/>
      <c r="J779" s="20"/>
      <c r="K779" s="20"/>
      <c r="L779" s="21"/>
    </row>
    <row r="780" spans="1:12" x14ac:dyDescent="0.2">
      <c r="A780" s="21"/>
      <c r="B780" s="21"/>
      <c r="C780" s="21"/>
      <c r="D780" s="21"/>
      <c r="E780" s="22"/>
      <c r="F780" s="22"/>
      <c r="G780" s="22"/>
      <c r="H780" s="22"/>
      <c r="I780" s="22"/>
      <c r="J780" s="22"/>
      <c r="K780" s="22"/>
      <c r="L780" s="21"/>
    </row>
  </sheetData>
  <mergeCells count="50">
    <mergeCell ref="A687:F687"/>
    <mergeCell ref="I687:K687"/>
    <mergeCell ref="A688:F688"/>
    <mergeCell ref="I688:K688"/>
    <mergeCell ref="A684:F684"/>
    <mergeCell ref="I684:K684"/>
    <mergeCell ref="A685:F685"/>
    <mergeCell ref="I685:K685"/>
    <mergeCell ref="A686:F686"/>
    <mergeCell ref="I686:K686"/>
    <mergeCell ref="A673:K673"/>
    <mergeCell ref="A678:C678"/>
    <mergeCell ref="A680:C680"/>
    <mergeCell ref="B682:K682"/>
    <mergeCell ref="A683:F683"/>
    <mergeCell ref="I683:K683"/>
    <mergeCell ref="A672:K672"/>
    <mergeCell ref="A613:K613"/>
    <mergeCell ref="A621:B621"/>
    <mergeCell ref="A626:K626"/>
    <mergeCell ref="A636:B636"/>
    <mergeCell ref="A641:B641"/>
    <mergeCell ref="A650:K650"/>
    <mergeCell ref="A651:K651"/>
    <mergeCell ref="A657:C657"/>
    <mergeCell ref="A660:K660"/>
    <mergeCell ref="A666:C666"/>
    <mergeCell ref="A669:C669"/>
    <mergeCell ref="A612:K612"/>
    <mergeCell ref="G5:G6"/>
    <mergeCell ref="H5:H6"/>
    <mergeCell ref="I5:K5"/>
    <mergeCell ref="A17:K17"/>
    <mergeCell ref="A18:K18"/>
    <mergeCell ref="A116:K116"/>
    <mergeCell ref="A212:K212"/>
    <mergeCell ref="A307:K307"/>
    <mergeCell ref="A308:K308"/>
    <mergeCell ref="A476:B476"/>
    <mergeCell ref="A544:B544"/>
    <mergeCell ref="G1:K1"/>
    <mergeCell ref="G2:K2"/>
    <mergeCell ref="A3:K3"/>
    <mergeCell ref="B4:I4"/>
    <mergeCell ref="A5:A6"/>
    <mergeCell ref="B5:B6"/>
    <mergeCell ref="C5:C6"/>
    <mergeCell ref="D5:D6"/>
    <mergeCell ref="E5:E6"/>
    <mergeCell ref="F5:F6"/>
  </mergeCells>
  <pageMargins left="0.51181102362204722" right="0.39370078740157483" top="1.5748031496062993" bottom="0.39370078740157483" header="0.51181102362204722" footer="0.51181102362204722"/>
  <pageSetup paperSize="9" scale="83" firstPageNumber="3" fitToHeight="0" orientation="landscape" useFirstPageNumber="1" r:id="rId1"/>
  <headerFooter alignWithMargins="0">
    <oddHeader>&amp;C
&amp;P</oddHeader>
  </headerFooter>
  <rowBreaks count="24" manualBreakCount="24">
    <brk id="15" max="10" man="1"/>
    <brk id="25" max="10" man="1"/>
    <brk id="35" max="10" man="1"/>
    <brk id="44" max="10" man="1"/>
    <brk id="61" max="10" man="1"/>
    <brk id="70" max="10" man="1"/>
    <brk id="149" max="10" man="1"/>
    <brk id="220" max="10" man="1"/>
    <brk id="257" max="10" man="1"/>
    <brk id="298" max="10" man="1"/>
    <brk id="310" max="10" man="1"/>
    <brk id="320" max="10" man="1"/>
    <brk id="328" max="10" man="1"/>
    <brk id="421" max="10" man="1"/>
    <brk id="431" max="10" man="1"/>
    <brk id="441" max="10" man="1"/>
    <brk id="450" max="10" man="1"/>
    <brk id="524" max="10" man="1"/>
    <brk id="552" max="10" man="1"/>
    <brk id="566" max="10" man="1"/>
    <brk id="580" max="10" man="1"/>
    <brk id="594" max="10" man="1"/>
    <brk id="617" max="10" man="1"/>
    <brk id="62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9"/>
  <sheetViews>
    <sheetView view="pageBreakPreview" topLeftCell="A28" zoomScaleNormal="100" zoomScaleSheetLayoutView="100" workbookViewId="0">
      <selection activeCell="G11" sqref="G11"/>
    </sheetView>
  </sheetViews>
  <sheetFormatPr defaultRowHeight="12.75" x14ac:dyDescent="0.2"/>
  <cols>
    <col min="1" max="1" width="25" customWidth="1"/>
    <col min="2" max="2" width="14.140625" customWidth="1"/>
    <col min="3" max="3" width="15.7109375" customWidth="1"/>
    <col min="4" max="4" width="15.42578125" customWidth="1"/>
    <col min="5" max="5" width="15" customWidth="1"/>
    <col min="6" max="6" width="15.140625" style="21" customWidth="1"/>
    <col min="7" max="7" width="16.5703125" customWidth="1"/>
    <col min="8" max="8" width="17.28515625" customWidth="1"/>
    <col min="9" max="9" width="16.7109375" customWidth="1"/>
    <col min="10" max="11" width="15.42578125" bestFit="1" customWidth="1"/>
    <col min="12" max="12" width="16.28515625" customWidth="1"/>
  </cols>
  <sheetData>
    <row r="1" spans="1:13" ht="26.25" customHeight="1" thickBot="1" x14ac:dyDescent="0.25">
      <c r="A1" s="21"/>
      <c r="B1" s="486"/>
      <c r="C1" s="521" t="s">
        <v>627</v>
      </c>
      <c r="D1" s="521"/>
      <c r="E1" s="521"/>
      <c r="F1" s="521"/>
      <c r="G1" s="521" t="s">
        <v>565</v>
      </c>
      <c r="H1" s="521"/>
      <c r="I1" s="521"/>
    </row>
    <row r="2" spans="1:13" ht="22.5" customHeight="1" thickBot="1" x14ac:dyDescent="0.25">
      <c r="A2" s="487"/>
      <c r="B2" s="488"/>
      <c r="C2" s="485" t="s">
        <v>572</v>
      </c>
      <c r="D2" s="485">
        <v>2023</v>
      </c>
      <c r="E2" s="485">
        <v>2024</v>
      </c>
      <c r="F2" s="485">
        <v>2025</v>
      </c>
      <c r="G2" s="485">
        <v>2023</v>
      </c>
      <c r="H2" s="485">
        <v>2024</v>
      </c>
      <c r="I2" s="485">
        <v>2025</v>
      </c>
    </row>
    <row r="3" spans="1:13" ht="39" customHeight="1" x14ac:dyDescent="0.2">
      <c r="A3" s="135" t="s">
        <v>104</v>
      </c>
      <c r="B3" s="484" t="s">
        <v>100</v>
      </c>
      <c r="C3" s="14">
        <f t="shared" ref="C3:C5" si="0">D3+E3+F3</f>
        <v>16779832.850000001</v>
      </c>
      <c r="D3" s="14">
        <f>SUM(D4:D5)</f>
        <v>16779832.850000001</v>
      </c>
      <c r="E3" s="14">
        <f>SUM(E4:E5)</f>
        <v>0</v>
      </c>
      <c r="F3" s="14">
        <f>SUM(F4:F5)</f>
        <v>0</v>
      </c>
      <c r="G3" s="472"/>
      <c r="H3" s="472"/>
      <c r="I3" s="472"/>
      <c r="J3" s="102"/>
    </row>
    <row r="4" spans="1:13" ht="26.25" customHeight="1" x14ac:dyDescent="0.2">
      <c r="A4" s="9" t="s">
        <v>554</v>
      </c>
      <c r="B4" s="5" t="s">
        <v>21</v>
      </c>
      <c r="C4" s="8">
        <f t="shared" si="0"/>
        <v>838991.64</v>
      </c>
      <c r="D4" s="8">
        <f>757950+79494.24+1547.4</f>
        <v>838991.64</v>
      </c>
      <c r="E4" s="8"/>
      <c r="F4" s="8"/>
      <c r="G4" s="463"/>
      <c r="H4" s="462"/>
      <c r="I4" s="462"/>
    </row>
    <row r="5" spans="1:13" ht="26.25" customHeight="1" thickBot="1" x14ac:dyDescent="0.25">
      <c r="A5" s="16" t="s">
        <v>78</v>
      </c>
      <c r="B5" s="6" t="s">
        <v>20</v>
      </c>
      <c r="C5" s="13">
        <f t="shared" si="0"/>
        <v>15940841.210000001</v>
      </c>
      <c r="D5" s="13">
        <f>14401050+1539791.21</f>
        <v>15940841.210000001</v>
      </c>
      <c r="E5" s="13"/>
      <c r="F5" s="13"/>
      <c r="G5" s="481" t="s">
        <v>593</v>
      </c>
      <c r="H5" s="469"/>
      <c r="I5" s="469"/>
    </row>
    <row r="6" spans="1:13" ht="63.75" x14ac:dyDescent="0.2">
      <c r="A6" s="442" t="s">
        <v>323</v>
      </c>
      <c r="B6" s="24" t="s">
        <v>100</v>
      </c>
      <c r="C6" s="14">
        <f t="shared" ref="C6:C8" si="1">D6+E6+F6</f>
        <v>2766191.18</v>
      </c>
      <c r="D6" s="14">
        <f>SUM(D7:D8)</f>
        <v>2766191.18</v>
      </c>
      <c r="E6" s="14">
        <f t="shared" ref="E6:F6" si="2">SUM(E7)</f>
        <v>0</v>
      </c>
      <c r="F6" s="14">
        <f t="shared" si="2"/>
        <v>0</v>
      </c>
      <c r="G6" s="479"/>
      <c r="H6" s="479"/>
      <c r="I6" s="479"/>
      <c r="J6" s="51"/>
      <c r="K6" s="51"/>
    </row>
    <row r="7" spans="1:13" ht="25.5" x14ac:dyDescent="0.2">
      <c r="A7" s="186" t="s">
        <v>77</v>
      </c>
      <c r="B7" s="192" t="s">
        <v>325</v>
      </c>
      <c r="C7" s="8">
        <f t="shared" si="1"/>
        <v>138309.56</v>
      </c>
      <c r="D7" s="8">
        <f>162487.72-24178.16</f>
        <v>138309.56</v>
      </c>
      <c r="E7" s="8"/>
      <c r="F7" s="8"/>
      <c r="G7" s="464"/>
      <c r="H7" s="464"/>
      <c r="I7" s="464"/>
      <c r="J7" s="51"/>
      <c r="K7" s="51"/>
    </row>
    <row r="8" spans="1:13" ht="26.25" thickBot="1" x14ac:dyDescent="0.25">
      <c r="A8" s="188" t="s">
        <v>78</v>
      </c>
      <c r="B8" s="314" t="s">
        <v>421</v>
      </c>
      <c r="C8" s="13">
        <f t="shared" si="1"/>
        <v>2627881.62</v>
      </c>
      <c r="D8" s="13">
        <f>3087266.59-459384.97</f>
        <v>2627881.62</v>
      </c>
      <c r="E8" s="13"/>
      <c r="F8" s="13"/>
      <c r="G8" s="477" t="s">
        <v>608</v>
      </c>
      <c r="H8" s="477"/>
      <c r="I8" s="477"/>
      <c r="J8" s="51"/>
      <c r="K8" s="51"/>
    </row>
    <row r="9" spans="1:13" ht="63.75" x14ac:dyDescent="0.2">
      <c r="A9" s="442" t="s">
        <v>326</v>
      </c>
      <c r="B9" s="327" t="s">
        <v>100</v>
      </c>
      <c r="C9" s="14">
        <f t="shared" ref="C9:C11" si="3">D9+E9+F9</f>
        <v>3508197.65</v>
      </c>
      <c r="D9" s="14">
        <f>SUM(D10:D11)</f>
        <v>3508197.65</v>
      </c>
      <c r="E9" s="14">
        <f t="shared" ref="E9" si="4">SUM(E10)</f>
        <v>0</v>
      </c>
      <c r="F9" s="14">
        <f t="shared" ref="F9" si="5">SUM(F10)</f>
        <v>0</v>
      </c>
      <c r="G9" s="479"/>
      <c r="H9" s="479"/>
      <c r="I9" s="479"/>
      <c r="J9" s="51"/>
      <c r="K9" s="51"/>
    </row>
    <row r="10" spans="1:13" ht="25.5" x14ac:dyDescent="0.2">
      <c r="A10" s="186" t="s">
        <v>77</v>
      </c>
      <c r="B10" s="192" t="s">
        <v>328</v>
      </c>
      <c r="C10" s="8">
        <f t="shared" si="3"/>
        <v>175409.88</v>
      </c>
      <c r="D10" s="8">
        <f>175995.39-585.51</f>
        <v>175409.88</v>
      </c>
      <c r="E10" s="8"/>
      <c r="F10" s="8"/>
      <c r="G10" s="464"/>
      <c r="H10" s="464"/>
      <c r="I10" s="464"/>
      <c r="J10" s="51"/>
      <c r="K10" s="51"/>
    </row>
    <row r="11" spans="1:13" ht="26.25" thickBot="1" x14ac:dyDescent="0.25">
      <c r="A11" s="186" t="s">
        <v>78</v>
      </c>
      <c r="B11" s="314" t="s">
        <v>423</v>
      </c>
      <c r="C11" s="8">
        <f t="shared" si="3"/>
        <v>3332787.77</v>
      </c>
      <c r="D11" s="8">
        <f>3343912.42-11124.65</f>
        <v>3332787.77</v>
      </c>
      <c r="E11" s="8"/>
      <c r="F11" s="8"/>
      <c r="G11" s="477" t="s">
        <v>609</v>
      </c>
      <c r="H11" s="477"/>
      <c r="I11" s="477"/>
      <c r="J11" s="51"/>
      <c r="K11" s="51"/>
    </row>
    <row r="12" spans="1:13" ht="66" customHeight="1" x14ac:dyDescent="0.2">
      <c r="A12" s="134" t="s">
        <v>241</v>
      </c>
      <c r="B12" s="362"/>
      <c r="C12" s="33">
        <f>D12+E12+F12</f>
        <v>400000</v>
      </c>
      <c r="D12" s="33">
        <f>SUM(D13:D13)</f>
        <v>0</v>
      </c>
      <c r="E12" s="33">
        <f>SUM(E13:E13)</f>
        <v>400000</v>
      </c>
      <c r="F12" s="33">
        <f>SUM(F13:F13)</f>
        <v>0</v>
      </c>
      <c r="G12" s="483"/>
      <c r="H12" s="483"/>
      <c r="I12" s="483"/>
      <c r="J12" s="51"/>
      <c r="K12" s="51"/>
    </row>
    <row r="13" spans="1:13" ht="26.25" thickBot="1" x14ac:dyDescent="0.25">
      <c r="A13" s="16" t="s">
        <v>76</v>
      </c>
      <c r="B13" s="96" t="s">
        <v>249</v>
      </c>
      <c r="C13" s="13">
        <f t="shared" ref="C13" si="6">D13+E13+F13</f>
        <v>400000</v>
      </c>
      <c r="D13" s="13"/>
      <c r="E13" s="13">
        <f>2000000-1000000-600000</f>
        <v>400000</v>
      </c>
      <c r="F13" s="13"/>
      <c r="G13" s="468"/>
      <c r="H13" s="477" t="s">
        <v>596</v>
      </c>
      <c r="I13" s="468"/>
      <c r="J13" s="52"/>
      <c r="K13" s="52"/>
      <c r="L13" s="52"/>
      <c r="M13" s="52"/>
    </row>
    <row r="14" spans="1:13" ht="67.5" customHeight="1" x14ac:dyDescent="0.2">
      <c r="A14" s="442" t="s">
        <v>151</v>
      </c>
      <c r="B14" s="24" t="s">
        <v>108</v>
      </c>
      <c r="C14" s="14">
        <f>D14+E14+F14</f>
        <v>400000</v>
      </c>
      <c r="D14" s="14">
        <f>SUM(D15:D15)</f>
        <v>0</v>
      </c>
      <c r="E14" s="14">
        <f>SUM(E15:E15)</f>
        <v>400000</v>
      </c>
      <c r="F14" s="14">
        <f>SUM(F15:F15)</f>
        <v>0</v>
      </c>
      <c r="G14" s="471"/>
      <c r="H14" s="471"/>
      <c r="I14" s="471"/>
      <c r="J14" s="52"/>
      <c r="K14" s="52"/>
      <c r="L14" s="52"/>
      <c r="M14" s="52"/>
    </row>
    <row r="15" spans="1:13" ht="26.25" thickBot="1" x14ac:dyDescent="0.25">
      <c r="A15" s="16" t="s">
        <v>76</v>
      </c>
      <c r="B15" s="96" t="s">
        <v>249</v>
      </c>
      <c r="C15" s="13">
        <f t="shared" ref="C15" si="7">D15+E15+F15</f>
        <v>400000</v>
      </c>
      <c r="D15" s="13"/>
      <c r="E15" s="13">
        <f>2000000-1000000-600000</f>
        <v>400000</v>
      </c>
      <c r="F15" s="13"/>
      <c r="G15" s="468"/>
      <c r="H15" s="477" t="s">
        <v>596</v>
      </c>
      <c r="I15" s="468"/>
      <c r="J15" s="52" t="s">
        <v>246</v>
      </c>
      <c r="K15" s="52"/>
      <c r="L15" s="52"/>
      <c r="M15" s="52"/>
    </row>
    <row r="16" spans="1:13" ht="51" x14ac:dyDescent="0.2">
      <c r="A16" s="442" t="s">
        <v>180</v>
      </c>
      <c r="B16" s="327" t="s">
        <v>108</v>
      </c>
      <c r="C16" s="14">
        <f t="shared" ref="C16:C19" si="8">D16+E16+F16</f>
        <v>378630.74000000005</v>
      </c>
      <c r="D16" s="14">
        <f>SUM(D17)</f>
        <v>0</v>
      </c>
      <c r="E16" s="14">
        <f>SUM(E17)</f>
        <v>378630.74000000005</v>
      </c>
      <c r="F16" s="14">
        <f>SUM(F17)</f>
        <v>0</v>
      </c>
      <c r="G16" s="471"/>
      <c r="H16" s="471"/>
      <c r="I16" s="471"/>
      <c r="J16" s="52"/>
      <c r="K16" s="52"/>
      <c r="L16" s="52"/>
      <c r="M16" s="52"/>
    </row>
    <row r="17" spans="1:13" ht="26.25" thickBot="1" x14ac:dyDescent="0.25">
      <c r="A17" s="16" t="s">
        <v>76</v>
      </c>
      <c r="B17" s="96" t="s">
        <v>249</v>
      </c>
      <c r="C17" s="13">
        <f t="shared" si="8"/>
        <v>378630.74000000005</v>
      </c>
      <c r="D17" s="13"/>
      <c r="E17" s="248">
        <f>1389938.32-919798.27-91509.31</f>
        <v>378630.74000000005</v>
      </c>
      <c r="F17" s="13"/>
      <c r="G17" s="468"/>
      <c r="H17" s="468" t="s">
        <v>615</v>
      </c>
      <c r="I17" s="468"/>
      <c r="J17" s="52"/>
      <c r="K17" s="52"/>
      <c r="L17" s="52"/>
      <c r="M17" s="52"/>
    </row>
    <row r="18" spans="1:13" ht="38.25" x14ac:dyDescent="0.2">
      <c r="A18" s="135" t="s">
        <v>156</v>
      </c>
      <c r="B18" s="327" t="s">
        <v>108</v>
      </c>
      <c r="C18" s="14">
        <f t="shared" si="8"/>
        <v>334845.82000000007</v>
      </c>
      <c r="D18" s="14">
        <f>SUM(D19)</f>
        <v>0</v>
      </c>
      <c r="E18" s="14">
        <f>SUM(E19)</f>
        <v>0</v>
      </c>
      <c r="F18" s="14">
        <f>SUM(F19)</f>
        <v>334845.82000000007</v>
      </c>
      <c r="G18" s="482"/>
      <c r="H18" s="472"/>
      <c r="I18" s="479"/>
    </row>
    <row r="19" spans="1:13" ht="26.25" thickBot="1" x14ac:dyDescent="0.25">
      <c r="A19" s="90" t="s">
        <v>76</v>
      </c>
      <c r="B19" s="96" t="s">
        <v>249</v>
      </c>
      <c r="C19" s="13">
        <f t="shared" si="8"/>
        <v>334845.82000000007</v>
      </c>
      <c r="D19" s="13"/>
      <c r="E19" s="13"/>
      <c r="F19" s="13">
        <f>1600000-1265154.18</f>
        <v>334845.82000000007</v>
      </c>
      <c r="G19" s="481"/>
      <c r="H19" s="469"/>
      <c r="I19" s="477" t="s">
        <v>618</v>
      </c>
    </row>
    <row r="20" spans="1:13" ht="66.75" customHeight="1" x14ac:dyDescent="0.2">
      <c r="A20" s="442" t="s">
        <v>175</v>
      </c>
      <c r="B20" s="327" t="s">
        <v>100</v>
      </c>
      <c r="C20" s="14">
        <f>D20+E20+F20</f>
        <v>3811183.82</v>
      </c>
      <c r="D20" s="14">
        <f>SUM(D21:D25)</f>
        <v>3811183.82</v>
      </c>
      <c r="E20" s="14">
        <f t="shared" ref="E20:F20" si="9">SUM(E21:E25)</f>
        <v>0</v>
      </c>
      <c r="F20" s="14">
        <f t="shared" si="9"/>
        <v>0</v>
      </c>
      <c r="G20" s="473"/>
      <c r="H20" s="472"/>
      <c r="I20" s="480"/>
      <c r="J20" s="391"/>
    </row>
    <row r="21" spans="1:13" ht="25.5" x14ac:dyDescent="0.2">
      <c r="A21" s="186" t="s">
        <v>81</v>
      </c>
      <c r="B21" s="192" t="s">
        <v>447</v>
      </c>
      <c r="C21" s="8">
        <f>D21+E21+F21</f>
        <v>7898.4399999999978</v>
      </c>
      <c r="D21" s="8">
        <f>45907.93+23.36-38025.05-7.8</f>
        <v>7898.4399999999978</v>
      </c>
      <c r="E21" s="385"/>
      <c r="F21" s="8"/>
      <c r="G21" s="464"/>
      <c r="H21" s="462"/>
      <c r="I21" s="462"/>
    </row>
    <row r="22" spans="1:13" ht="38.25" x14ac:dyDescent="0.2">
      <c r="A22" s="186" t="s">
        <v>81</v>
      </c>
      <c r="B22" s="192" t="s">
        <v>493</v>
      </c>
      <c r="C22" s="8">
        <f>D22+E22+F22</f>
        <v>38032.85</v>
      </c>
      <c r="D22" s="8">
        <v>38032.85</v>
      </c>
      <c r="E22" s="385"/>
      <c r="F22" s="8"/>
      <c r="G22" s="464"/>
      <c r="H22" s="462"/>
      <c r="I22" s="462"/>
    </row>
    <row r="23" spans="1:13" ht="25.5" x14ac:dyDescent="0.2">
      <c r="A23" s="186" t="s">
        <v>445</v>
      </c>
      <c r="B23" s="192" t="s">
        <v>446</v>
      </c>
      <c r="C23" s="246">
        <f t="shared" ref="C23:C25" si="10">D23+E23+F23</f>
        <v>0</v>
      </c>
      <c r="D23" s="246">
        <f>819587.6-37652.53-781935.07</f>
        <v>0</v>
      </c>
      <c r="E23" s="385"/>
      <c r="F23" s="8"/>
      <c r="G23" s="464" t="s">
        <v>610</v>
      </c>
      <c r="H23" s="462"/>
      <c r="I23" s="466"/>
      <c r="J23" s="390"/>
    </row>
    <row r="24" spans="1:13" ht="38.25" x14ac:dyDescent="0.2">
      <c r="A24" s="186" t="s">
        <v>445</v>
      </c>
      <c r="B24" s="192" t="s">
        <v>494</v>
      </c>
      <c r="C24" s="8">
        <f>D24+E24+F24</f>
        <v>37652.53</v>
      </c>
      <c r="D24" s="8">
        <v>37652.53</v>
      </c>
      <c r="E24" s="385"/>
      <c r="F24" s="8"/>
      <c r="G24" s="464"/>
      <c r="H24" s="462"/>
      <c r="I24" s="466"/>
      <c r="J24" s="390"/>
    </row>
    <row r="25" spans="1:13" ht="39" thickBot="1" x14ac:dyDescent="0.25">
      <c r="A25" s="188" t="s">
        <v>448</v>
      </c>
      <c r="B25" s="314" t="s">
        <v>495</v>
      </c>
      <c r="C25" s="13">
        <f t="shared" si="10"/>
        <v>3727600</v>
      </c>
      <c r="D25" s="13">
        <f>3727607.8-7.8</f>
        <v>3727600</v>
      </c>
      <c r="E25" s="476"/>
      <c r="F25" s="13"/>
      <c r="G25" s="477"/>
      <c r="H25" s="469"/>
      <c r="I25" s="478"/>
      <c r="J25" s="390"/>
    </row>
    <row r="26" spans="1:13" ht="51" x14ac:dyDescent="0.2">
      <c r="A26" s="323" t="s">
        <v>177</v>
      </c>
      <c r="B26" s="311" t="s">
        <v>100</v>
      </c>
      <c r="C26" s="14">
        <f>D26+E26+F26</f>
        <v>2887019.74</v>
      </c>
      <c r="D26" s="14">
        <f>SUM(D27:D31)</f>
        <v>2887019.74</v>
      </c>
      <c r="E26" s="14">
        <f>SUM(E27:E31)</f>
        <v>0</v>
      </c>
      <c r="F26" s="14">
        <v>0</v>
      </c>
      <c r="G26" s="473"/>
      <c r="H26" s="472"/>
      <c r="I26" s="479"/>
    </row>
    <row r="27" spans="1:13" ht="25.5" x14ac:dyDescent="0.2">
      <c r="A27" s="186" t="s">
        <v>81</v>
      </c>
      <c r="B27" s="192" t="s">
        <v>329</v>
      </c>
      <c r="C27" s="8">
        <f>D27+E27+F27</f>
        <v>4809.1899999999978</v>
      </c>
      <c r="D27" s="8">
        <f>32628.69+26.64-27801.75-44.39</f>
        <v>4809.1899999999978</v>
      </c>
      <c r="E27" s="385"/>
      <c r="F27" s="8"/>
      <c r="G27" s="464"/>
      <c r="H27" s="462"/>
      <c r="I27" s="462"/>
      <c r="J27" s="390"/>
    </row>
    <row r="28" spans="1:13" ht="38.25" x14ac:dyDescent="0.2">
      <c r="A28" s="186" t="s">
        <v>81</v>
      </c>
      <c r="B28" s="192" t="s">
        <v>496</v>
      </c>
      <c r="C28" s="8">
        <f>D28+E28+F28</f>
        <v>27846.14</v>
      </c>
      <c r="D28" s="8">
        <v>27846.14</v>
      </c>
      <c r="E28" s="385"/>
      <c r="F28" s="8"/>
      <c r="G28" s="464"/>
      <c r="H28" s="462"/>
      <c r="I28" s="462"/>
      <c r="J28" s="390"/>
    </row>
    <row r="29" spans="1:13" ht="25.5" x14ac:dyDescent="0.2">
      <c r="A29" s="186" t="s">
        <v>445</v>
      </c>
      <c r="B29" s="192" t="s">
        <v>449</v>
      </c>
      <c r="C29" s="8">
        <f t="shared" ref="C29:C31" si="11">D29+E29+F29</f>
        <v>97596.729999999981</v>
      </c>
      <c r="D29" s="8">
        <f>503632.94-27567.68-378468.53</f>
        <v>97596.729999999981</v>
      </c>
      <c r="E29" s="385"/>
      <c r="F29" s="8"/>
      <c r="G29" s="464" t="s">
        <v>611</v>
      </c>
      <c r="H29" s="462"/>
      <c r="I29" s="466"/>
      <c r="J29" s="390"/>
    </row>
    <row r="30" spans="1:13" ht="38.25" x14ac:dyDescent="0.2">
      <c r="A30" s="186" t="s">
        <v>445</v>
      </c>
      <c r="B30" s="192" t="s">
        <v>497</v>
      </c>
      <c r="C30" s="8">
        <f>D30+E30+F30</f>
        <v>27567.68</v>
      </c>
      <c r="D30" s="8">
        <v>27567.68</v>
      </c>
      <c r="E30" s="385"/>
      <c r="F30" s="8"/>
      <c r="G30" s="464"/>
      <c r="H30" s="462"/>
      <c r="I30" s="466"/>
      <c r="J30" s="390"/>
    </row>
    <row r="31" spans="1:13" ht="39" thickBot="1" x14ac:dyDescent="0.25">
      <c r="A31" s="188" t="s">
        <v>448</v>
      </c>
      <c r="B31" s="314" t="s">
        <v>498</v>
      </c>
      <c r="C31" s="13">
        <f t="shared" si="11"/>
        <v>2729200</v>
      </c>
      <c r="D31" s="13">
        <f>2729244.39-44.39</f>
        <v>2729200</v>
      </c>
      <c r="E31" s="476"/>
      <c r="F31" s="13"/>
      <c r="G31" s="477"/>
      <c r="H31" s="469"/>
      <c r="I31" s="478"/>
      <c r="J31" s="390"/>
    </row>
    <row r="32" spans="1:13" ht="82.5" customHeight="1" x14ac:dyDescent="0.2">
      <c r="A32" s="323" t="s">
        <v>603</v>
      </c>
      <c r="B32" s="311" t="s">
        <v>604</v>
      </c>
      <c r="C32" s="14">
        <f t="shared" ref="C32:C33" si="12">D32+E32+F32</f>
        <v>686169</v>
      </c>
      <c r="D32" s="14">
        <f>SUM(D33)</f>
        <v>686169</v>
      </c>
      <c r="E32" s="14">
        <f t="shared" ref="E32:F32" si="13">SUM(E33)</f>
        <v>0</v>
      </c>
      <c r="F32" s="14">
        <f t="shared" si="13"/>
        <v>0</v>
      </c>
      <c r="G32" s="472"/>
      <c r="H32" s="472"/>
      <c r="I32" s="471"/>
    </row>
    <row r="33" spans="1:9" ht="26.25" thickBot="1" x14ac:dyDescent="0.25">
      <c r="A33" s="188" t="s">
        <v>314</v>
      </c>
      <c r="B33" s="314" t="s">
        <v>605</v>
      </c>
      <c r="C33" s="13">
        <f t="shared" si="12"/>
        <v>686169</v>
      </c>
      <c r="D33" s="13">
        <v>686169</v>
      </c>
      <c r="E33" s="13"/>
      <c r="F33" s="13"/>
      <c r="G33" s="474" t="s">
        <v>606</v>
      </c>
      <c r="H33" s="469"/>
      <c r="I33" s="468"/>
    </row>
    <row r="34" spans="1:9" ht="66" customHeight="1" x14ac:dyDescent="0.2">
      <c r="A34" s="323" t="s">
        <v>366</v>
      </c>
      <c r="B34" s="24" t="s">
        <v>367</v>
      </c>
      <c r="C34" s="14">
        <f t="shared" ref="C34:C37" si="14">SUM(D34:F34)</f>
        <v>317676155.38999999</v>
      </c>
      <c r="D34" s="14">
        <f>SUM(D35:D37)</f>
        <v>166767494.74000001</v>
      </c>
      <c r="E34" s="14">
        <f>SUM(E35:E37)</f>
        <v>150908660.65000001</v>
      </c>
      <c r="F34" s="14">
        <f t="shared" ref="F34" si="15">SUM(F35:F37)</f>
        <v>0</v>
      </c>
      <c r="G34" s="471"/>
      <c r="H34" s="475"/>
      <c r="I34" s="475"/>
    </row>
    <row r="35" spans="1:9" ht="25.5" x14ac:dyDescent="0.2">
      <c r="A35" s="9" t="s">
        <v>65</v>
      </c>
      <c r="B35" s="95" t="s">
        <v>249</v>
      </c>
      <c r="C35" s="8">
        <f t="shared" si="14"/>
        <v>3609600</v>
      </c>
      <c r="D35" s="8">
        <f>5200000-1200000-330080-8160-23000-21000-8160</f>
        <v>3609600</v>
      </c>
      <c r="E35" s="8"/>
      <c r="F35" s="8"/>
      <c r="G35" s="465"/>
      <c r="H35" s="467"/>
      <c r="I35" s="467"/>
    </row>
    <row r="36" spans="1:9" ht="25.5" x14ac:dyDescent="0.2">
      <c r="A36" s="186" t="s">
        <v>346</v>
      </c>
      <c r="B36" s="192" t="s">
        <v>457</v>
      </c>
      <c r="C36" s="8">
        <f t="shared" si="14"/>
        <v>15703327.770000001</v>
      </c>
      <c r="D36" s="246">
        <f>1578947.37+6578947.37</f>
        <v>8157894.7400000002</v>
      </c>
      <c r="E36" s="246">
        <f>12004582.13-6578947.37+2119798.27</f>
        <v>7545433.0300000012</v>
      </c>
      <c r="F36" s="8"/>
      <c r="G36" s="467"/>
      <c r="H36" s="467" t="s">
        <v>602</v>
      </c>
      <c r="I36" s="462"/>
    </row>
    <row r="37" spans="1:9" ht="26.25" thickBot="1" x14ac:dyDescent="0.25">
      <c r="A37" s="188" t="s">
        <v>455</v>
      </c>
      <c r="B37" s="314" t="s">
        <v>456</v>
      </c>
      <c r="C37" s="13">
        <f t="shared" si="14"/>
        <v>298363227.62</v>
      </c>
      <c r="D37" s="248">
        <v>155000000</v>
      </c>
      <c r="E37" s="248">
        <f>103087060.5+40276167.12</f>
        <v>143363227.62</v>
      </c>
      <c r="F37" s="13"/>
      <c r="G37" s="474"/>
      <c r="H37" s="474" t="s">
        <v>612</v>
      </c>
      <c r="I37" s="469"/>
    </row>
    <row r="38" spans="1:9" ht="42" customHeight="1" x14ac:dyDescent="0.2">
      <c r="A38" s="323" t="s">
        <v>52</v>
      </c>
      <c r="B38" s="24" t="s">
        <v>100</v>
      </c>
      <c r="C38" s="14">
        <f>D38+E38+F38</f>
        <v>379101031.31</v>
      </c>
      <c r="D38" s="14">
        <f>SUM(D39:D41)</f>
        <v>61616500.609999999</v>
      </c>
      <c r="E38" s="14">
        <f t="shared" ref="E38:F38" si="16">SUM(E39:E41)</f>
        <v>49554971.509999998</v>
      </c>
      <c r="F38" s="14">
        <f t="shared" si="16"/>
        <v>267929559.19</v>
      </c>
      <c r="G38" s="473"/>
      <c r="H38" s="471"/>
      <c r="I38" s="472"/>
    </row>
    <row r="39" spans="1:9" ht="25.5" x14ac:dyDescent="0.2">
      <c r="A39" s="186" t="s">
        <v>313</v>
      </c>
      <c r="B39" s="192" t="s">
        <v>307</v>
      </c>
      <c r="C39" s="8">
        <f>D39+E39+F39</f>
        <v>1010440</v>
      </c>
      <c r="D39" s="8">
        <f>150000+80000+780440</f>
        <v>1010440</v>
      </c>
      <c r="E39" s="8"/>
      <c r="F39" s="8"/>
      <c r="G39" s="464"/>
      <c r="H39" s="465"/>
      <c r="I39" s="462"/>
    </row>
    <row r="40" spans="1:9" ht="25.5" x14ac:dyDescent="0.2">
      <c r="A40" s="9" t="s">
        <v>5</v>
      </c>
      <c r="B40" s="5" t="s">
        <v>11</v>
      </c>
      <c r="C40" s="8">
        <f>D40+E40+F40</f>
        <v>3780905.92</v>
      </c>
      <c r="D40" s="8">
        <v>606060.61</v>
      </c>
      <c r="E40" s="8">
        <f>606060.61-202020.2+91509.31</f>
        <v>495549.72</v>
      </c>
      <c r="F40" s="8">
        <f>1212121.21+202020.2+1265154.18</f>
        <v>2679295.59</v>
      </c>
      <c r="G40" s="465"/>
      <c r="H40" s="465" t="s">
        <v>616</v>
      </c>
      <c r="I40" s="465" t="s">
        <v>617</v>
      </c>
    </row>
    <row r="41" spans="1:9" ht="26.25" thickBot="1" x14ac:dyDescent="0.25">
      <c r="A41" s="16" t="s">
        <v>6</v>
      </c>
      <c r="B41" s="6" t="s">
        <v>10</v>
      </c>
      <c r="C41" s="13">
        <f t="shared" ref="C41:C46" si="17">D41+E41+F41</f>
        <v>374309685.38999999</v>
      </c>
      <c r="D41" s="13">
        <v>60000000</v>
      </c>
      <c r="E41" s="13">
        <f>60000000-20000000+9059421.79</f>
        <v>49059421.789999999</v>
      </c>
      <c r="F41" s="13">
        <f>120000000+20000000+125250263.6</f>
        <v>265250263.59999999</v>
      </c>
      <c r="G41" s="468"/>
      <c r="H41" s="468" t="s">
        <v>613</v>
      </c>
      <c r="I41" s="468" t="s">
        <v>614</v>
      </c>
    </row>
    <row r="42" spans="1:9" ht="36" x14ac:dyDescent="0.2">
      <c r="A42" s="470" t="s">
        <v>316</v>
      </c>
      <c r="B42" s="24" t="s">
        <v>100</v>
      </c>
      <c r="C42" s="14">
        <f t="shared" si="17"/>
        <v>24252089.109999999</v>
      </c>
      <c r="D42" s="14">
        <f>SUM(D43:D46)</f>
        <v>24252089.109999999</v>
      </c>
      <c r="E42" s="14">
        <f t="shared" ref="E42:F42" si="18">SUM(E44:E45)</f>
        <v>0</v>
      </c>
      <c r="F42" s="14">
        <f t="shared" si="18"/>
        <v>0</v>
      </c>
      <c r="G42" s="471"/>
      <c r="H42" s="471"/>
      <c r="I42" s="472"/>
    </row>
    <row r="43" spans="1:9" ht="25.5" x14ac:dyDescent="0.2">
      <c r="A43" s="186" t="s">
        <v>370</v>
      </c>
      <c r="B43" s="192" t="s">
        <v>620</v>
      </c>
      <c r="C43" s="8">
        <f t="shared" si="17"/>
        <v>90000</v>
      </c>
      <c r="D43" s="8">
        <v>90000</v>
      </c>
      <c r="E43" s="8"/>
      <c r="F43" s="8"/>
      <c r="G43" s="465" t="s">
        <v>621</v>
      </c>
      <c r="H43" s="465"/>
      <c r="I43" s="462"/>
    </row>
    <row r="44" spans="1:9" ht="25.5" x14ac:dyDescent="0.2">
      <c r="A44" s="186" t="s">
        <v>370</v>
      </c>
      <c r="B44" s="192" t="s">
        <v>318</v>
      </c>
      <c r="C44" s="8">
        <f t="shared" si="17"/>
        <v>16151689.99</v>
      </c>
      <c r="D44" s="8">
        <f>4557546.4+589142.02+8509846.38+2585155.19-90000</f>
        <v>16151689.99</v>
      </c>
      <c r="E44" s="8"/>
      <c r="F44" s="8"/>
      <c r="G44" s="465" t="s">
        <v>619</v>
      </c>
      <c r="H44" s="465"/>
      <c r="I44" s="462"/>
    </row>
    <row r="45" spans="1:9" ht="25.5" x14ac:dyDescent="0.2">
      <c r="A45" s="186" t="s">
        <v>331</v>
      </c>
      <c r="B45" s="192" t="s">
        <v>332</v>
      </c>
      <c r="C45" s="8">
        <f t="shared" si="17"/>
        <v>451820.33999999997</v>
      </c>
      <c r="D45" s="8">
        <f>85861.54+0.38+365958.42</f>
        <v>451820.33999999997</v>
      </c>
      <c r="E45" s="8"/>
      <c r="F45" s="8"/>
      <c r="G45" s="465"/>
      <c r="H45" s="465"/>
      <c r="I45" s="462"/>
    </row>
    <row r="46" spans="1:9" ht="26.25" thickBot="1" x14ac:dyDescent="0.25">
      <c r="A46" s="188" t="s">
        <v>408</v>
      </c>
      <c r="B46" s="314" t="s">
        <v>409</v>
      </c>
      <c r="C46" s="13">
        <f t="shared" si="17"/>
        <v>7558578.7799999993</v>
      </c>
      <c r="D46" s="13">
        <f>1631368.85+5927209.93</f>
        <v>7558578.7799999993</v>
      </c>
      <c r="E46" s="13"/>
      <c r="F46" s="13"/>
      <c r="G46" s="468"/>
      <c r="H46" s="468"/>
      <c r="I46" s="469"/>
    </row>
    <row r="47" spans="1:9" ht="15.75" x14ac:dyDescent="0.2">
      <c r="A47" s="517"/>
      <c r="B47" s="517"/>
      <c r="C47" s="23"/>
      <c r="D47" s="518"/>
      <c r="E47" s="518"/>
      <c r="F47" s="518"/>
      <c r="G47" s="21"/>
    </row>
    <row r="48" spans="1:9" x14ac:dyDescent="0.2">
      <c r="A48" s="17"/>
      <c r="B48" s="18"/>
      <c r="C48" s="20"/>
      <c r="D48" s="20"/>
      <c r="E48" s="20"/>
      <c r="F48" s="20"/>
      <c r="G48" s="21"/>
    </row>
    <row r="49" spans="1:7" x14ac:dyDescent="0.2">
      <c r="A49" s="17"/>
      <c r="B49" s="18"/>
      <c r="C49" s="20"/>
      <c r="D49" s="20"/>
      <c r="E49" s="20"/>
      <c r="F49" s="20"/>
      <c r="G49" s="21"/>
    </row>
    <row r="50" spans="1:7" x14ac:dyDescent="0.2">
      <c r="A50" s="17"/>
      <c r="B50" s="18"/>
      <c r="C50" s="20"/>
      <c r="D50" s="20"/>
      <c r="E50" s="20"/>
      <c r="F50" s="20"/>
      <c r="G50" s="21"/>
    </row>
    <row r="51" spans="1:7" x14ac:dyDescent="0.2">
      <c r="A51" s="17"/>
      <c r="B51" s="18"/>
      <c r="C51" s="20"/>
      <c r="D51" s="20"/>
      <c r="E51" s="20"/>
      <c r="F51" s="20"/>
      <c r="G51" s="21"/>
    </row>
    <row r="52" spans="1:7" x14ac:dyDescent="0.2">
      <c r="A52" s="17"/>
      <c r="B52" s="18"/>
      <c r="C52" s="20"/>
      <c r="D52" s="20"/>
      <c r="E52" s="20"/>
      <c r="F52" s="20"/>
      <c r="G52" s="21"/>
    </row>
    <row r="53" spans="1:7" x14ac:dyDescent="0.2">
      <c r="A53" s="17"/>
      <c r="B53" s="18"/>
      <c r="C53" s="20"/>
      <c r="D53" s="20"/>
      <c r="E53" s="20"/>
      <c r="F53" s="20"/>
      <c r="G53" s="21"/>
    </row>
    <row r="54" spans="1:7" x14ac:dyDescent="0.2">
      <c r="A54" s="17"/>
      <c r="B54" s="18"/>
      <c r="C54" s="20"/>
      <c r="D54" s="20"/>
      <c r="E54" s="20"/>
      <c r="F54" s="20"/>
      <c r="G54" s="21"/>
    </row>
    <row r="55" spans="1:7" x14ac:dyDescent="0.2">
      <c r="A55" s="17"/>
      <c r="B55" s="18"/>
      <c r="C55" s="20"/>
      <c r="D55" s="20"/>
      <c r="E55" s="20"/>
      <c r="F55" s="20"/>
      <c r="G55" s="21"/>
    </row>
    <row r="56" spans="1:7" x14ac:dyDescent="0.2">
      <c r="A56" s="17"/>
      <c r="B56" s="18"/>
      <c r="C56" s="20"/>
      <c r="D56" s="20"/>
      <c r="E56" s="20"/>
      <c r="F56" s="20"/>
      <c r="G56" s="21"/>
    </row>
    <row r="57" spans="1:7" x14ac:dyDescent="0.2">
      <c r="A57" s="17"/>
      <c r="B57" s="18"/>
      <c r="C57" s="20"/>
      <c r="D57" s="20"/>
      <c r="E57" s="20"/>
      <c r="F57" s="20"/>
      <c r="G57" s="21"/>
    </row>
    <row r="58" spans="1:7" x14ac:dyDescent="0.2">
      <c r="A58" s="17"/>
      <c r="B58" s="18"/>
      <c r="C58" s="20"/>
      <c r="D58" s="20"/>
      <c r="E58" s="20"/>
      <c r="F58" s="20"/>
      <c r="G58" s="21"/>
    </row>
    <row r="59" spans="1:7" x14ac:dyDescent="0.2">
      <c r="A59" s="17"/>
      <c r="B59" s="18"/>
      <c r="C59" s="20"/>
      <c r="D59" s="20"/>
      <c r="E59" s="20"/>
      <c r="F59" s="20"/>
      <c r="G59" s="21"/>
    </row>
    <row r="60" spans="1:7" x14ac:dyDescent="0.2">
      <c r="A60" s="17"/>
      <c r="B60" s="18"/>
      <c r="C60" s="20"/>
      <c r="D60" s="20"/>
      <c r="E60" s="20"/>
      <c r="F60" s="20"/>
      <c r="G60" s="21"/>
    </row>
    <row r="61" spans="1:7" x14ac:dyDescent="0.2">
      <c r="A61" s="17"/>
      <c r="B61" s="18"/>
      <c r="C61" s="20"/>
      <c r="D61" s="20"/>
      <c r="E61" s="20"/>
      <c r="F61" s="20"/>
      <c r="G61" s="21"/>
    </row>
    <row r="62" spans="1:7" x14ac:dyDescent="0.2">
      <c r="A62" s="17"/>
      <c r="B62" s="18"/>
      <c r="C62" s="20"/>
      <c r="D62" s="20"/>
      <c r="E62" s="20"/>
      <c r="F62" s="20"/>
      <c r="G62" s="21"/>
    </row>
    <row r="63" spans="1:7" x14ac:dyDescent="0.2">
      <c r="A63" s="17"/>
      <c r="B63" s="18"/>
      <c r="C63" s="20"/>
      <c r="D63" s="20"/>
      <c r="E63" s="20"/>
      <c r="F63" s="20"/>
      <c r="G63" s="21"/>
    </row>
    <row r="64" spans="1:7" x14ac:dyDescent="0.2">
      <c r="A64" s="17"/>
      <c r="B64" s="18"/>
      <c r="C64" s="20"/>
      <c r="D64" s="20"/>
      <c r="E64" s="20"/>
      <c r="F64" s="20"/>
      <c r="G64" s="21"/>
    </row>
    <row r="65" spans="1:7" x14ac:dyDescent="0.2">
      <c r="A65" s="17"/>
      <c r="B65" s="18"/>
      <c r="C65" s="20"/>
      <c r="D65" s="20"/>
      <c r="E65" s="20"/>
      <c r="F65" s="20"/>
      <c r="G65" s="21"/>
    </row>
    <row r="66" spans="1:7" x14ac:dyDescent="0.2">
      <c r="A66" s="17"/>
      <c r="B66" s="18"/>
      <c r="C66" s="20"/>
      <c r="D66" s="20"/>
      <c r="E66" s="20"/>
      <c r="F66" s="20"/>
      <c r="G66" s="21"/>
    </row>
    <row r="67" spans="1:7" x14ac:dyDescent="0.2">
      <c r="A67" s="17"/>
      <c r="B67" s="18"/>
      <c r="C67" s="20"/>
      <c r="D67" s="20"/>
      <c r="E67" s="20"/>
      <c r="F67" s="20"/>
      <c r="G67" s="21"/>
    </row>
    <row r="68" spans="1:7" x14ac:dyDescent="0.2">
      <c r="A68" s="17"/>
      <c r="B68" s="18"/>
      <c r="C68" s="20"/>
      <c r="D68" s="20"/>
      <c r="E68" s="20"/>
      <c r="F68" s="20"/>
      <c r="G68" s="21"/>
    </row>
    <row r="69" spans="1:7" x14ac:dyDescent="0.2">
      <c r="A69" s="17"/>
      <c r="B69" s="18"/>
      <c r="C69" s="20"/>
      <c r="D69" s="20"/>
      <c r="E69" s="20"/>
      <c r="F69" s="20"/>
      <c r="G69" s="21"/>
    </row>
    <row r="70" spans="1:7" x14ac:dyDescent="0.2">
      <c r="A70" s="17"/>
      <c r="B70" s="18"/>
      <c r="C70" s="20"/>
      <c r="D70" s="20"/>
      <c r="E70" s="20"/>
      <c r="F70" s="20"/>
      <c r="G70" s="21"/>
    </row>
    <row r="71" spans="1:7" x14ac:dyDescent="0.2">
      <c r="A71" s="17"/>
      <c r="B71" s="18"/>
      <c r="C71" s="20"/>
      <c r="D71" s="20"/>
      <c r="E71" s="20"/>
      <c r="F71" s="20"/>
      <c r="G71" s="21"/>
    </row>
    <row r="72" spans="1:7" x14ac:dyDescent="0.2">
      <c r="A72" s="17"/>
      <c r="B72" s="18"/>
      <c r="C72" s="20"/>
      <c r="D72" s="20"/>
      <c r="E72" s="20"/>
      <c r="F72" s="20"/>
      <c r="G72" s="21"/>
    </row>
    <row r="73" spans="1:7" x14ac:dyDescent="0.2">
      <c r="A73" s="17"/>
      <c r="B73" s="18"/>
      <c r="C73" s="20"/>
      <c r="D73" s="20"/>
      <c r="E73" s="20"/>
      <c r="F73" s="20"/>
      <c r="G73" s="21"/>
    </row>
    <row r="74" spans="1:7" x14ac:dyDescent="0.2">
      <c r="A74" s="17"/>
      <c r="B74" s="18"/>
      <c r="C74" s="20"/>
      <c r="D74" s="20"/>
      <c r="E74" s="20"/>
      <c r="F74" s="20"/>
      <c r="G74" s="21"/>
    </row>
    <row r="75" spans="1:7" x14ac:dyDescent="0.2">
      <c r="A75" s="17"/>
      <c r="B75" s="18"/>
      <c r="C75" s="20"/>
      <c r="D75" s="20"/>
      <c r="E75" s="20"/>
      <c r="F75" s="20"/>
      <c r="G75" s="21"/>
    </row>
    <row r="76" spans="1:7" x14ac:dyDescent="0.2">
      <c r="A76" s="17"/>
      <c r="B76" s="18"/>
      <c r="C76" s="20"/>
      <c r="D76" s="20"/>
      <c r="E76" s="20"/>
      <c r="F76" s="20"/>
      <c r="G76" s="21"/>
    </row>
    <row r="77" spans="1:7" x14ac:dyDescent="0.2">
      <c r="A77" s="17"/>
      <c r="B77" s="18"/>
      <c r="C77" s="20"/>
      <c r="D77" s="20"/>
      <c r="E77" s="20"/>
      <c r="F77" s="20"/>
      <c r="G77" s="21"/>
    </row>
    <row r="78" spans="1:7" x14ac:dyDescent="0.2">
      <c r="A78" s="17"/>
      <c r="B78" s="18"/>
      <c r="C78" s="20"/>
      <c r="D78" s="20"/>
      <c r="E78" s="20"/>
      <c r="F78" s="20"/>
      <c r="G78" s="21"/>
    </row>
    <row r="79" spans="1:7" x14ac:dyDescent="0.2">
      <c r="A79" s="17"/>
      <c r="B79" s="18"/>
      <c r="C79" s="20"/>
      <c r="D79" s="20"/>
      <c r="E79" s="20"/>
      <c r="F79" s="20"/>
      <c r="G79" s="21"/>
    </row>
    <row r="80" spans="1:7" x14ac:dyDescent="0.2">
      <c r="A80" s="17"/>
      <c r="B80" s="18"/>
      <c r="C80" s="20"/>
      <c r="D80" s="20"/>
      <c r="E80" s="20"/>
      <c r="F80" s="20"/>
      <c r="G80" s="21"/>
    </row>
    <row r="81" spans="1:7" x14ac:dyDescent="0.2">
      <c r="A81" s="17"/>
      <c r="B81" s="18"/>
      <c r="C81" s="20"/>
      <c r="D81" s="20"/>
      <c r="E81" s="20"/>
      <c r="F81" s="20"/>
      <c r="G81" s="21"/>
    </row>
    <row r="82" spans="1:7" x14ac:dyDescent="0.2">
      <c r="A82" s="17"/>
      <c r="B82" s="18"/>
      <c r="C82" s="20"/>
      <c r="D82" s="20"/>
      <c r="E82" s="20"/>
      <c r="F82" s="20"/>
      <c r="G82" s="21"/>
    </row>
    <row r="83" spans="1:7" x14ac:dyDescent="0.2">
      <c r="A83" s="17"/>
      <c r="B83" s="18"/>
      <c r="C83" s="20"/>
      <c r="D83" s="20"/>
      <c r="E83" s="20"/>
      <c r="F83" s="20"/>
      <c r="G83" s="21"/>
    </row>
    <row r="84" spans="1:7" x14ac:dyDescent="0.2">
      <c r="A84" s="17"/>
      <c r="B84" s="18"/>
      <c r="C84" s="20"/>
      <c r="D84" s="20"/>
      <c r="E84" s="20"/>
      <c r="F84" s="20"/>
      <c r="G84" s="21"/>
    </row>
    <row r="85" spans="1:7" x14ac:dyDescent="0.2">
      <c r="A85" s="17"/>
      <c r="B85" s="18"/>
      <c r="C85" s="20"/>
      <c r="D85" s="20"/>
      <c r="E85" s="20"/>
      <c r="F85" s="20"/>
      <c r="G85" s="21"/>
    </row>
    <row r="86" spans="1:7" x14ac:dyDescent="0.2">
      <c r="A86" s="17"/>
      <c r="B86" s="18"/>
      <c r="C86" s="20"/>
      <c r="D86" s="20"/>
      <c r="E86" s="20"/>
      <c r="F86" s="20"/>
      <c r="G86" s="21"/>
    </row>
    <row r="87" spans="1:7" x14ac:dyDescent="0.2">
      <c r="A87" s="17"/>
      <c r="B87" s="18"/>
      <c r="C87" s="20"/>
      <c r="D87" s="20"/>
      <c r="E87" s="20"/>
      <c r="F87" s="20"/>
      <c r="G87" s="21"/>
    </row>
    <row r="88" spans="1:7" x14ac:dyDescent="0.2">
      <c r="A88" s="17"/>
      <c r="B88" s="18"/>
      <c r="C88" s="20"/>
      <c r="D88" s="20"/>
      <c r="E88" s="20"/>
      <c r="F88" s="20"/>
      <c r="G88" s="21"/>
    </row>
    <row r="89" spans="1:7" x14ac:dyDescent="0.2">
      <c r="A89" s="17"/>
      <c r="B89" s="18"/>
      <c r="C89" s="20"/>
      <c r="D89" s="20"/>
      <c r="E89" s="20"/>
      <c r="F89" s="20"/>
      <c r="G89" s="21"/>
    </row>
    <row r="90" spans="1:7" x14ac:dyDescent="0.2">
      <c r="A90" s="17"/>
      <c r="B90" s="18"/>
      <c r="C90" s="20"/>
      <c r="D90" s="20"/>
      <c r="E90" s="20"/>
      <c r="F90" s="20"/>
      <c r="G90" s="21"/>
    </row>
    <row r="91" spans="1:7" x14ac:dyDescent="0.2">
      <c r="A91" s="17"/>
      <c r="B91" s="18"/>
      <c r="C91" s="20"/>
      <c r="D91" s="20"/>
      <c r="E91" s="20"/>
      <c r="F91" s="20"/>
      <c r="G91" s="21"/>
    </row>
    <row r="92" spans="1:7" x14ac:dyDescent="0.2">
      <c r="A92" s="17"/>
      <c r="B92" s="18"/>
      <c r="C92" s="20"/>
      <c r="D92" s="20"/>
      <c r="E92" s="20"/>
      <c r="F92" s="20"/>
      <c r="G92" s="21"/>
    </row>
    <row r="93" spans="1:7" x14ac:dyDescent="0.2">
      <c r="A93" s="17"/>
      <c r="B93" s="18"/>
      <c r="C93" s="20"/>
      <c r="D93" s="20"/>
      <c r="E93" s="20"/>
      <c r="F93" s="20"/>
      <c r="G93" s="21"/>
    </row>
    <row r="94" spans="1:7" x14ac:dyDescent="0.2">
      <c r="A94" s="17"/>
      <c r="B94" s="18"/>
      <c r="C94" s="20"/>
      <c r="D94" s="20"/>
      <c r="E94" s="20"/>
      <c r="F94" s="20"/>
      <c r="G94" s="21"/>
    </row>
    <row r="95" spans="1:7" x14ac:dyDescent="0.2">
      <c r="A95" s="17"/>
      <c r="B95" s="18"/>
      <c r="C95" s="20"/>
      <c r="D95" s="20"/>
      <c r="E95" s="20"/>
      <c r="F95" s="20"/>
      <c r="G95" s="21"/>
    </row>
    <row r="96" spans="1:7" x14ac:dyDescent="0.2">
      <c r="A96" s="17"/>
      <c r="B96" s="18"/>
      <c r="C96" s="20"/>
      <c r="D96" s="20"/>
      <c r="E96" s="20"/>
      <c r="F96" s="20"/>
      <c r="G96" s="21"/>
    </row>
    <row r="97" spans="1:7" x14ac:dyDescent="0.2">
      <c r="A97" s="17"/>
      <c r="B97" s="18"/>
      <c r="C97" s="20"/>
      <c r="D97" s="20"/>
      <c r="E97" s="20"/>
      <c r="F97" s="20"/>
      <c r="G97" s="21"/>
    </row>
    <row r="98" spans="1:7" x14ac:dyDescent="0.2">
      <c r="A98" s="17"/>
      <c r="B98" s="18"/>
      <c r="C98" s="20"/>
      <c r="D98" s="20"/>
      <c r="E98" s="20"/>
      <c r="F98" s="20"/>
      <c r="G98" s="21"/>
    </row>
    <row r="99" spans="1:7" x14ac:dyDescent="0.2">
      <c r="A99" s="17"/>
      <c r="B99" s="18"/>
      <c r="C99" s="20"/>
      <c r="D99" s="20"/>
      <c r="E99" s="20"/>
      <c r="F99" s="20"/>
      <c r="G99" s="21"/>
    </row>
    <row r="100" spans="1:7" x14ac:dyDescent="0.2">
      <c r="A100" s="17"/>
      <c r="B100" s="18"/>
      <c r="C100" s="20"/>
      <c r="D100" s="20"/>
      <c r="E100" s="20"/>
      <c r="F100" s="20"/>
      <c r="G100" s="21"/>
    </row>
    <row r="101" spans="1:7" x14ac:dyDescent="0.2">
      <c r="A101" s="17"/>
      <c r="B101" s="18"/>
      <c r="C101" s="20"/>
      <c r="D101" s="20"/>
      <c r="E101" s="20"/>
      <c r="F101" s="20"/>
      <c r="G101" s="21"/>
    </row>
    <row r="102" spans="1:7" x14ac:dyDescent="0.2">
      <c r="A102" s="17"/>
      <c r="B102" s="18"/>
      <c r="C102" s="20"/>
      <c r="D102" s="20"/>
      <c r="E102" s="20"/>
      <c r="F102" s="20"/>
      <c r="G102" s="21"/>
    </row>
    <row r="103" spans="1:7" x14ac:dyDescent="0.2">
      <c r="A103" s="17"/>
      <c r="B103" s="18"/>
      <c r="C103" s="20"/>
      <c r="D103" s="20"/>
      <c r="E103" s="20"/>
      <c r="F103" s="20"/>
      <c r="G103" s="21"/>
    </row>
    <row r="104" spans="1:7" x14ac:dyDescent="0.2">
      <c r="A104" s="17"/>
      <c r="B104" s="18"/>
      <c r="C104" s="20"/>
      <c r="D104" s="20"/>
      <c r="E104" s="20"/>
      <c r="F104" s="20"/>
      <c r="G104" s="21"/>
    </row>
    <row r="105" spans="1:7" x14ac:dyDescent="0.2">
      <c r="A105" s="17"/>
      <c r="B105" s="18"/>
      <c r="C105" s="20"/>
      <c r="D105" s="20"/>
      <c r="E105" s="20"/>
      <c r="F105" s="20"/>
      <c r="G105" s="21"/>
    </row>
    <row r="106" spans="1:7" x14ac:dyDescent="0.2">
      <c r="A106" s="17"/>
      <c r="B106" s="18"/>
      <c r="C106" s="20"/>
      <c r="D106" s="20"/>
      <c r="E106" s="20"/>
      <c r="F106" s="20"/>
      <c r="G106" s="21"/>
    </row>
    <row r="107" spans="1:7" x14ac:dyDescent="0.2">
      <c r="A107" s="17"/>
      <c r="B107" s="18"/>
      <c r="C107" s="20"/>
      <c r="D107" s="20"/>
      <c r="E107" s="20"/>
      <c r="F107" s="20"/>
      <c r="G107" s="21"/>
    </row>
    <row r="108" spans="1:7" x14ac:dyDescent="0.2">
      <c r="A108" s="17"/>
      <c r="B108" s="18"/>
      <c r="C108" s="20"/>
      <c r="D108" s="20"/>
      <c r="E108" s="20"/>
      <c r="F108" s="20"/>
      <c r="G108" s="21"/>
    </row>
    <row r="109" spans="1:7" x14ac:dyDescent="0.2">
      <c r="A109" s="17"/>
      <c r="B109" s="18"/>
      <c r="C109" s="20"/>
      <c r="D109" s="20"/>
      <c r="E109" s="20"/>
      <c r="F109" s="20"/>
      <c r="G109" s="21"/>
    </row>
    <row r="110" spans="1:7" x14ac:dyDescent="0.2">
      <c r="A110" s="17"/>
      <c r="B110" s="18"/>
      <c r="C110" s="20"/>
      <c r="D110" s="20"/>
      <c r="E110" s="20"/>
      <c r="F110" s="20"/>
      <c r="G110" s="21"/>
    </row>
    <row r="111" spans="1:7" x14ac:dyDescent="0.2">
      <c r="A111" s="17"/>
      <c r="B111" s="18"/>
      <c r="C111" s="20"/>
      <c r="D111" s="20"/>
      <c r="E111" s="20"/>
      <c r="F111" s="20"/>
      <c r="G111" s="21"/>
    </row>
    <row r="112" spans="1:7" x14ac:dyDescent="0.2">
      <c r="A112" s="17"/>
      <c r="B112" s="18"/>
      <c r="C112" s="20"/>
      <c r="D112" s="20"/>
      <c r="E112" s="20"/>
      <c r="F112" s="20"/>
      <c r="G112" s="21"/>
    </row>
    <row r="113" spans="1:7" x14ac:dyDescent="0.2">
      <c r="A113" s="17"/>
      <c r="B113" s="18"/>
      <c r="C113" s="20"/>
      <c r="D113" s="20"/>
      <c r="E113" s="20"/>
      <c r="F113" s="20"/>
      <c r="G113" s="21"/>
    </row>
    <row r="114" spans="1:7" x14ac:dyDescent="0.2">
      <c r="A114" s="17"/>
      <c r="B114" s="18"/>
      <c r="C114" s="20"/>
      <c r="D114" s="20"/>
      <c r="E114" s="20"/>
      <c r="F114" s="20"/>
      <c r="G114" s="21"/>
    </row>
    <row r="115" spans="1:7" x14ac:dyDescent="0.2">
      <c r="A115" s="17"/>
      <c r="B115" s="18"/>
      <c r="C115" s="20"/>
      <c r="D115" s="20"/>
      <c r="E115" s="20"/>
      <c r="F115" s="20"/>
      <c r="G115" s="21"/>
    </row>
    <row r="116" spans="1:7" x14ac:dyDescent="0.2">
      <c r="A116" s="17"/>
      <c r="B116" s="18"/>
      <c r="C116" s="20"/>
      <c r="D116" s="20"/>
      <c r="E116" s="20"/>
      <c r="F116" s="20"/>
      <c r="G116" s="21"/>
    </row>
    <row r="117" spans="1:7" x14ac:dyDescent="0.2">
      <c r="A117" s="17"/>
      <c r="B117" s="18"/>
      <c r="C117" s="20"/>
      <c r="D117" s="20"/>
      <c r="E117" s="20"/>
      <c r="F117" s="20"/>
      <c r="G117" s="21"/>
    </row>
    <row r="118" spans="1:7" x14ac:dyDescent="0.2">
      <c r="A118" s="17"/>
      <c r="B118" s="18"/>
      <c r="C118" s="20"/>
      <c r="D118" s="20"/>
      <c r="E118" s="20"/>
      <c r="F118" s="20"/>
      <c r="G118" s="21"/>
    </row>
    <row r="119" spans="1:7" x14ac:dyDescent="0.2">
      <c r="A119" s="17"/>
      <c r="B119" s="18"/>
      <c r="C119" s="20"/>
      <c r="D119" s="20"/>
      <c r="E119" s="20"/>
      <c r="F119" s="20"/>
      <c r="G119" s="21"/>
    </row>
    <row r="120" spans="1:7" x14ac:dyDescent="0.2">
      <c r="A120" s="17"/>
      <c r="B120" s="18"/>
      <c r="C120" s="20"/>
      <c r="D120" s="20"/>
      <c r="E120" s="20"/>
      <c r="F120" s="20"/>
      <c r="G120" s="21"/>
    </row>
    <row r="121" spans="1:7" x14ac:dyDescent="0.2">
      <c r="A121" s="17"/>
      <c r="B121" s="18"/>
      <c r="C121" s="20"/>
      <c r="D121" s="20"/>
      <c r="E121" s="20"/>
      <c r="F121" s="20"/>
      <c r="G121" s="21"/>
    </row>
    <row r="122" spans="1:7" x14ac:dyDescent="0.2">
      <c r="A122" s="17"/>
      <c r="B122" s="18"/>
      <c r="C122" s="20"/>
      <c r="D122" s="20"/>
      <c r="E122" s="20"/>
      <c r="F122" s="20"/>
      <c r="G122" s="21"/>
    </row>
    <row r="123" spans="1:7" x14ac:dyDescent="0.2">
      <c r="A123" s="17"/>
      <c r="B123" s="18"/>
      <c r="C123" s="20"/>
      <c r="D123" s="20"/>
      <c r="E123" s="20"/>
      <c r="F123" s="20"/>
      <c r="G123" s="21"/>
    </row>
    <row r="124" spans="1:7" x14ac:dyDescent="0.2">
      <c r="A124" s="17"/>
      <c r="B124" s="18"/>
      <c r="C124" s="20"/>
      <c r="D124" s="20"/>
      <c r="E124" s="20"/>
      <c r="F124" s="20"/>
      <c r="G124" s="21"/>
    </row>
    <row r="125" spans="1:7" x14ac:dyDescent="0.2">
      <c r="A125" s="17"/>
      <c r="B125" s="18"/>
      <c r="C125" s="20"/>
      <c r="D125" s="20"/>
      <c r="E125" s="20"/>
      <c r="F125" s="20"/>
      <c r="G125" s="21"/>
    </row>
    <row r="126" spans="1:7" x14ac:dyDescent="0.2">
      <c r="A126" s="17"/>
      <c r="B126" s="18"/>
      <c r="C126" s="20"/>
      <c r="D126" s="20"/>
      <c r="E126" s="20"/>
      <c r="F126" s="20"/>
      <c r="G126" s="21"/>
    </row>
    <row r="127" spans="1:7" x14ac:dyDescent="0.2">
      <c r="A127" s="17"/>
      <c r="B127" s="18"/>
      <c r="C127" s="20"/>
      <c r="D127" s="20"/>
      <c r="E127" s="20"/>
      <c r="F127" s="20"/>
      <c r="G127" s="21"/>
    </row>
    <row r="128" spans="1:7" x14ac:dyDescent="0.2">
      <c r="A128" s="17"/>
      <c r="B128" s="18"/>
      <c r="C128" s="20"/>
      <c r="D128" s="20"/>
      <c r="E128" s="20"/>
      <c r="F128" s="20"/>
      <c r="G128" s="21"/>
    </row>
    <row r="129" spans="1:7" x14ac:dyDescent="0.2">
      <c r="A129" s="17"/>
      <c r="B129" s="18"/>
      <c r="C129" s="20"/>
      <c r="D129" s="20"/>
      <c r="E129" s="20"/>
      <c r="F129" s="20"/>
      <c r="G129" s="21"/>
    </row>
    <row r="130" spans="1:7" x14ac:dyDescent="0.2">
      <c r="A130" s="17"/>
      <c r="B130" s="18"/>
      <c r="C130" s="20"/>
      <c r="D130" s="20"/>
      <c r="E130" s="20"/>
      <c r="F130" s="20"/>
      <c r="G130" s="21"/>
    </row>
    <row r="131" spans="1:7" x14ac:dyDescent="0.2">
      <c r="A131" s="17"/>
      <c r="B131" s="18"/>
      <c r="C131" s="20"/>
      <c r="D131" s="20"/>
      <c r="E131" s="20"/>
      <c r="F131" s="20"/>
      <c r="G131" s="21"/>
    </row>
    <row r="132" spans="1:7" x14ac:dyDescent="0.2">
      <c r="A132" s="17"/>
      <c r="B132" s="18"/>
      <c r="C132" s="20"/>
      <c r="D132" s="20"/>
      <c r="E132" s="20"/>
      <c r="F132" s="20"/>
      <c r="G132" s="21"/>
    </row>
    <row r="133" spans="1:7" x14ac:dyDescent="0.2">
      <c r="A133" s="17"/>
      <c r="B133" s="18"/>
      <c r="C133" s="20"/>
      <c r="D133" s="20"/>
      <c r="E133" s="20"/>
      <c r="F133" s="20"/>
      <c r="G133" s="21"/>
    </row>
    <row r="134" spans="1:7" x14ac:dyDescent="0.2">
      <c r="A134" s="17"/>
      <c r="B134" s="18"/>
      <c r="C134" s="20"/>
      <c r="D134" s="20"/>
      <c r="E134" s="20"/>
      <c r="F134" s="20"/>
      <c r="G134" s="21"/>
    </row>
    <row r="135" spans="1:7" x14ac:dyDescent="0.2">
      <c r="A135" s="17"/>
      <c r="B135" s="18"/>
      <c r="C135" s="20"/>
      <c r="D135" s="20"/>
      <c r="E135" s="20"/>
      <c r="F135" s="20"/>
      <c r="G135" s="21"/>
    </row>
    <row r="136" spans="1:7" x14ac:dyDescent="0.2">
      <c r="A136" s="17"/>
      <c r="B136" s="18"/>
      <c r="C136" s="20"/>
      <c r="D136" s="20"/>
      <c r="E136" s="20"/>
      <c r="F136" s="20"/>
      <c r="G136" s="21"/>
    </row>
    <row r="137" spans="1:7" x14ac:dyDescent="0.2">
      <c r="A137" s="17"/>
      <c r="B137" s="18"/>
      <c r="C137" s="20"/>
      <c r="D137" s="20"/>
      <c r="E137" s="20"/>
      <c r="F137" s="20"/>
      <c r="G137" s="21"/>
    </row>
    <row r="138" spans="1:7" x14ac:dyDescent="0.2">
      <c r="A138" s="17"/>
      <c r="B138" s="18"/>
      <c r="C138" s="20"/>
      <c r="D138" s="20"/>
      <c r="E138" s="20"/>
      <c r="F138" s="20"/>
      <c r="G138" s="21"/>
    </row>
    <row r="139" spans="1:7" x14ac:dyDescent="0.2">
      <c r="A139" s="21"/>
      <c r="B139" s="21"/>
      <c r="C139" s="22"/>
      <c r="D139" s="22"/>
      <c r="E139" s="22"/>
      <c r="F139" s="22"/>
      <c r="G139" s="21"/>
    </row>
  </sheetData>
  <mergeCells count="4">
    <mergeCell ref="A47:B47"/>
    <mergeCell ref="D47:F47"/>
    <mergeCell ref="C1:F1"/>
    <mergeCell ref="G1:I1"/>
  </mergeCells>
  <phoneticPr fontId="2" type="noConversion"/>
  <pageMargins left="0.51181102362204722" right="0.39370078740157483" top="1.5748031496062993" bottom="0.39370078740157483" header="0.51181102362204722" footer="0.51181102362204722"/>
  <pageSetup paperSize="9" scale="93" firstPageNumber="3" fitToHeight="0" orientation="landscape" useFirstPageNumber="1" r:id="rId1"/>
  <headerFooter alignWithMargins="0">
    <oddHeader>&amp;C
&amp;P</oddHeader>
  </headerFooter>
  <rowBreaks count="1" manualBreakCount="1">
    <brk id="3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Перечень  (2)</vt:lpstr>
      <vt:lpstr>Изменения</vt:lpstr>
      <vt:lpstr>'Перечень  (2)'!Заголовки_для_печати</vt:lpstr>
      <vt:lpstr>Изменения!Область_печати</vt:lpstr>
      <vt:lpstr>'Перечень  (2)'!Область_печати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Бзнуни</cp:lastModifiedBy>
  <cp:lastPrinted>2023-12-06T09:04:08Z</cp:lastPrinted>
  <dcterms:created xsi:type="dcterms:W3CDTF">2014-12-30T07:03:20Z</dcterms:created>
  <dcterms:modified xsi:type="dcterms:W3CDTF">2023-12-07T13:09:37Z</dcterms:modified>
</cp:coreProperties>
</file>