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21840" windowHeight="13500"/>
  </bookViews>
  <sheets>
    <sheet name="2023" sheetId="1" r:id="rId1"/>
  </sheets>
  <definedNames>
    <definedName name="_xlnm._FilterDatabase" localSheetId="0" hidden="1">'2023'!#REF!</definedName>
    <definedName name="Z_68533A23_659B_4AC1_87DC_2724ABE8720C_.wvu.PrintArea" localSheetId="0" hidden="1">'2023'!#REF!</definedName>
    <definedName name="_xlnm.Print_Titles" localSheetId="0">'2023'!$4:$5</definedName>
    <definedName name="_xlnm.Print_Area" localSheetId="0">'2023'!$A$1:$K$5</definedName>
  </definedNames>
  <calcPr calcId="145621"/>
</workbook>
</file>

<file path=xl/calcChain.xml><?xml version="1.0" encoding="utf-8"?>
<calcChain xmlns="http://schemas.openxmlformats.org/spreadsheetml/2006/main">
  <c r="I66" i="1" l="1"/>
  <c r="J66" i="1"/>
  <c r="K77" i="1"/>
  <c r="K76" i="1"/>
  <c r="K73" i="1"/>
  <c r="K72" i="1"/>
  <c r="K71" i="1"/>
  <c r="K70" i="1"/>
  <c r="K69" i="1"/>
  <c r="K68" i="1"/>
  <c r="K67" i="1"/>
  <c r="H66" i="1"/>
  <c r="K66" i="1" l="1"/>
  <c r="I6" i="1"/>
  <c r="J6" i="1"/>
  <c r="H6" i="1"/>
  <c r="K10" i="1"/>
  <c r="K9" i="1"/>
  <c r="K8" i="1"/>
  <c r="K7" i="1" l="1"/>
  <c r="K177" i="1"/>
  <c r="H177" i="1"/>
  <c r="G177" i="1"/>
  <c r="F177" i="1"/>
  <c r="E177" i="1"/>
  <c r="K176" i="1"/>
  <c r="H176" i="1"/>
  <c r="H174" i="1" s="1"/>
  <c r="G176" i="1"/>
  <c r="F176" i="1"/>
  <c r="E176" i="1"/>
  <c r="K175" i="1"/>
  <c r="H175" i="1"/>
  <c r="G175" i="1"/>
  <c r="F175" i="1"/>
  <c r="E175" i="1"/>
  <c r="J174" i="1"/>
  <c r="I174" i="1"/>
  <c r="K173" i="1"/>
  <c r="H173" i="1"/>
  <c r="G173" i="1"/>
  <c r="F173" i="1"/>
  <c r="E173" i="1"/>
  <c r="K172" i="1"/>
  <c r="H172" i="1"/>
  <c r="G172" i="1"/>
  <c r="F172" i="1"/>
  <c r="E172" i="1"/>
  <c r="K171" i="1"/>
  <c r="H171" i="1"/>
  <c r="G171" i="1"/>
  <c r="F171" i="1"/>
  <c r="E171" i="1"/>
  <c r="K170" i="1"/>
  <c r="H170" i="1"/>
  <c r="G170" i="1"/>
  <c r="F170" i="1"/>
  <c r="E170" i="1"/>
  <c r="K169" i="1"/>
  <c r="H169" i="1"/>
  <c r="G169" i="1"/>
  <c r="F169" i="1"/>
  <c r="E169" i="1"/>
  <c r="K168" i="1"/>
  <c r="H168" i="1"/>
  <c r="G168" i="1"/>
  <c r="F168" i="1"/>
  <c r="E168" i="1"/>
  <c r="J167" i="1"/>
  <c r="I167" i="1"/>
  <c r="H167" i="1"/>
  <c r="G167" i="1"/>
  <c r="F167" i="1"/>
  <c r="E167" i="1"/>
  <c r="K166" i="1"/>
  <c r="G166" i="1"/>
  <c r="F166" i="1"/>
  <c r="E166" i="1"/>
  <c r="J165" i="1"/>
  <c r="I165" i="1"/>
  <c r="H165" i="1"/>
  <c r="G165" i="1"/>
  <c r="F165" i="1"/>
  <c r="E165" i="1"/>
  <c r="K164" i="1"/>
  <c r="H164" i="1"/>
  <c r="G164" i="1"/>
  <c r="F164" i="1"/>
  <c r="E164" i="1"/>
  <c r="J163" i="1"/>
  <c r="I163" i="1"/>
  <c r="H163" i="1"/>
  <c r="G163" i="1"/>
  <c r="F163" i="1"/>
  <c r="E163" i="1"/>
  <c r="J162" i="1"/>
  <c r="I162" i="1"/>
  <c r="H162" i="1"/>
  <c r="G162" i="1"/>
  <c r="F162" i="1"/>
  <c r="E162" i="1"/>
  <c r="K161" i="1"/>
  <c r="H161" i="1"/>
  <c r="G161" i="1"/>
  <c r="F161" i="1"/>
  <c r="E161" i="1"/>
  <c r="K160" i="1"/>
  <c r="H160" i="1"/>
  <c r="G160" i="1"/>
  <c r="F160" i="1"/>
  <c r="E160" i="1"/>
  <c r="K159" i="1"/>
  <c r="H159" i="1"/>
  <c r="G159" i="1"/>
  <c r="F159" i="1"/>
  <c r="E159" i="1"/>
  <c r="K158" i="1"/>
  <c r="H158" i="1"/>
  <c r="G158" i="1"/>
  <c r="F158" i="1"/>
  <c r="E158" i="1"/>
  <c r="J157" i="1"/>
  <c r="I157" i="1"/>
  <c r="H157" i="1"/>
  <c r="G157" i="1"/>
  <c r="F157" i="1"/>
  <c r="E157" i="1"/>
  <c r="J156" i="1"/>
  <c r="I156" i="1"/>
  <c r="H156" i="1"/>
  <c r="G156" i="1"/>
  <c r="F156" i="1"/>
  <c r="E156" i="1"/>
  <c r="K155" i="1"/>
  <c r="H155" i="1"/>
  <c r="G155" i="1"/>
  <c r="F155" i="1"/>
  <c r="E155" i="1"/>
  <c r="K154" i="1"/>
  <c r="H154" i="1"/>
  <c r="G154" i="1"/>
  <c r="F154" i="1"/>
  <c r="E154" i="1"/>
  <c r="K153" i="1"/>
  <c r="H153" i="1"/>
  <c r="G153" i="1"/>
  <c r="F153" i="1"/>
  <c r="E153" i="1"/>
  <c r="K152" i="1"/>
  <c r="H152" i="1"/>
  <c r="G152" i="1"/>
  <c r="F152" i="1"/>
  <c r="E152" i="1"/>
  <c r="K151" i="1"/>
  <c r="H151" i="1"/>
  <c r="G151" i="1"/>
  <c r="F151" i="1"/>
  <c r="E151" i="1"/>
  <c r="K150" i="1"/>
  <c r="H150" i="1"/>
  <c r="G150" i="1"/>
  <c r="F150" i="1"/>
  <c r="E150" i="1"/>
  <c r="J149" i="1"/>
  <c r="I149" i="1"/>
  <c r="H149" i="1"/>
  <c r="G149" i="1"/>
  <c r="F149" i="1"/>
  <c r="E149" i="1"/>
  <c r="J148" i="1"/>
  <c r="I148" i="1"/>
  <c r="H148" i="1"/>
  <c r="G148" i="1"/>
  <c r="F148" i="1"/>
  <c r="E148" i="1"/>
  <c r="K147" i="1"/>
  <c r="H147" i="1"/>
  <c r="G147" i="1"/>
  <c r="E147" i="1"/>
  <c r="J146" i="1"/>
  <c r="I146" i="1"/>
  <c r="H146" i="1"/>
  <c r="G146" i="1"/>
  <c r="F146" i="1"/>
  <c r="E146" i="1"/>
  <c r="K145" i="1"/>
  <c r="H145" i="1"/>
  <c r="G145" i="1"/>
  <c r="F145" i="1"/>
  <c r="E145" i="1"/>
  <c r="K144" i="1"/>
  <c r="H144" i="1"/>
  <c r="G144" i="1"/>
  <c r="F144" i="1"/>
  <c r="E144" i="1"/>
  <c r="K143" i="1"/>
  <c r="H143" i="1"/>
  <c r="G143" i="1"/>
  <c r="F143" i="1"/>
  <c r="E143" i="1"/>
  <c r="K142" i="1"/>
  <c r="H142" i="1"/>
  <c r="G142" i="1"/>
  <c r="F142" i="1"/>
  <c r="E142" i="1"/>
  <c r="K141" i="1"/>
  <c r="H141" i="1"/>
  <c r="G141" i="1"/>
  <c r="F141" i="1"/>
  <c r="E141" i="1"/>
  <c r="K140" i="1"/>
  <c r="H140" i="1"/>
  <c r="G140" i="1"/>
  <c r="F140" i="1"/>
  <c r="E140" i="1"/>
  <c r="K139" i="1"/>
  <c r="H139" i="1"/>
  <c r="G139" i="1"/>
  <c r="F139" i="1"/>
  <c r="E139" i="1"/>
  <c r="K138" i="1"/>
  <c r="H138" i="1"/>
  <c r="G138" i="1"/>
  <c r="F138" i="1"/>
  <c r="E138" i="1"/>
  <c r="K137" i="1"/>
  <c r="H137" i="1"/>
  <c r="G137" i="1"/>
  <c r="F137" i="1"/>
  <c r="E137" i="1"/>
  <c r="K136" i="1"/>
  <c r="H136" i="1"/>
  <c r="G136" i="1"/>
  <c r="F136" i="1"/>
  <c r="E136" i="1"/>
  <c r="K135" i="1"/>
  <c r="H135" i="1"/>
  <c r="G135" i="1"/>
  <c r="F135" i="1"/>
  <c r="E135" i="1"/>
  <c r="K134" i="1"/>
  <c r="H134" i="1"/>
  <c r="G134" i="1"/>
  <c r="F134" i="1"/>
  <c r="E134" i="1"/>
  <c r="K133" i="1"/>
  <c r="H133" i="1"/>
  <c r="G133" i="1"/>
  <c r="F133" i="1"/>
  <c r="E133" i="1"/>
  <c r="J132" i="1"/>
  <c r="I132" i="1"/>
  <c r="H132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I78" i="1"/>
  <c r="J78" i="1"/>
  <c r="H78" i="1"/>
  <c r="K80" i="1"/>
  <c r="K79" i="1"/>
  <c r="I54" i="1"/>
  <c r="J54" i="1"/>
  <c r="H54" i="1"/>
  <c r="K65" i="1"/>
  <c r="K64" i="1"/>
  <c r="K63" i="1"/>
  <c r="K62" i="1"/>
  <c r="K61" i="1"/>
  <c r="K60" i="1"/>
  <c r="K59" i="1"/>
  <c r="K58" i="1"/>
  <c r="K57" i="1"/>
  <c r="K56" i="1"/>
  <c r="K55" i="1"/>
  <c r="I11" i="1"/>
  <c r="J11" i="1"/>
  <c r="H11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H131" i="1" l="1"/>
  <c r="H81" i="1" s="1"/>
  <c r="H180" i="1" s="1"/>
  <c r="K174" i="1"/>
  <c r="F174" i="1"/>
  <c r="K132" i="1"/>
  <c r="F131" i="1"/>
  <c r="K156" i="1"/>
  <c r="K162" i="1"/>
  <c r="K165" i="1"/>
  <c r="I131" i="1"/>
  <c r="I81" i="1" s="1"/>
  <c r="I180" i="1" s="1"/>
  <c r="J131" i="1"/>
  <c r="J81" i="1" s="1"/>
  <c r="J180" i="1" s="1"/>
  <c r="E131" i="1"/>
  <c r="G131" i="1"/>
  <c r="K146" i="1"/>
  <c r="K149" i="1"/>
  <c r="K157" i="1"/>
  <c r="K163" i="1"/>
  <c r="K167" i="1"/>
  <c r="E174" i="1"/>
  <c r="G174" i="1"/>
  <c r="K148" i="1"/>
  <c r="K131" i="1" l="1"/>
  <c r="K81" i="1" l="1"/>
  <c r="K54" i="1"/>
  <c r="K11" i="1"/>
  <c r="K6" i="1" l="1"/>
  <c r="K78" i="1" l="1"/>
  <c r="K180" i="1"/>
</calcChain>
</file>

<file path=xl/sharedStrings.xml><?xml version="1.0" encoding="utf-8"?>
<sst xmlns="http://schemas.openxmlformats.org/spreadsheetml/2006/main" count="564" uniqueCount="242">
  <si>
    <t>ГРБС</t>
  </si>
  <si>
    <t>Наименование государственной услуги (работы)</t>
  </si>
  <si>
    <t>Наименование показателя объема государственной услуги (работы)</t>
  </si>
  <si>
    <t>единица измерения</t>
  </si>
  <si>
    <t>исполнение уточненного плана, %</t>
  </si>
  <si>
    <t>уточненный план
(в соответствии с заключенными соглашениями), рублей</t>
  </si>
  <si>
    <t>кассовое исполнение, рублей</t>
  </si>
  <si>
    <t>человек</t>
  </si>
  <si>
    <t>Количество мероприятий</t>
  </si>
  <si>
    <t>Единиц</t>
  </si>
  <si>
    <t>012</t>
  </si>
  <si>
    <t>Комитет по делам молодежи, семьи, материнства и детства Брянской городской администрации</t>
  </si>
  <si>
    <t>006</t>
  </si>
  <si>
    <t>Управление культуры Брянской городской администрации</t>
  </si>
  <si>
    <t>Реализация дополнительных общеразвивающих программ</t>
  </si>
  <si>
    <t>человеко-часов пребывания</t>
  </si>
  <si>
    <t>Человеко-час</t>
  </si>
  <si>
    <t>Реализация дополнительных предпрофессиональных программ в области искусств</t>
  </si>
  <si>
    <t>Библиотечное, библиографическое и информационное  обслуживание пользователей библиотек</t>
  </si>
  <si>
    <t>Количество посещений библиотеки в стационарных условиях и удаленно через сеть Интернет</t>
  </si>
  <si>
    <t>Показ (организация показа) концертов и концертных программ</t>
  </si>
  <si>
    <t>Число зрителей</t>
  </si>
  <si>
    <t>Человек</t>
  </si>
  <si>
    <t>Организация и проведение мероприятий</t>
  </si>
  <si>
    <t>количество проведенных мероприятий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</si>
  <si>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</si>
  <si>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</t>
  </si>
  <si>
    <t>Показ кинофильмов</t>
  </si>
  <si>
    <t>Создание экспозиций (выставок) музеев, организация выездных выставок</t>
  </si>
  <si>
    <t>Количество экспозиций</t>
  </si>
  <si>
    <t>Предоставление архивных справок и копий архивных документов, связанных с социальной защитой граждан, предусматривающей их пенсионное обеспечение, а также получение льгот и компенсаций в соответствии с законодательством РФ</t>
  </si>
  <si>
    <t>Количество исполненных запросов</t>
  </si>
  <si>
    <t>Содержание (эксплуатация) имущества. находящегося в государственной (муниципальной) собственности</t>
  </si>
  <si>
    <t>Эксплуатируемая площадь объектов и прилегающей территории</t>
  </si>
  <si>
    <t>Тыс. м2</t>
  </si>
  <si>
    <t>014</t>
  </si>
  <si>
    <t>Комитет по физической культуре и спорту Брянской городской администрации</t>
  </si>
  <si>
    <t>Спортивная подготовка по олимпийским видам спорта</t>
  </si>
  <si>
    <t>Обеспечение доступа к объектам спорта</t>
  </si>
  <si>
    <t>пребывание на объекте спорта</t>
  </si>
  <si>
    <t>человеко-день</t>
  </si>
  <si>
    <t>Проведение тестирования выполнения нормативов испытаний (тестов) комплекса ГТО</t>
  </si>
  <si>
    <t>единица</t>
  </si>
  <si>
    <t>005</t>
  </si>
  <si>
    <t>Управление образования  Брянской городской администрации</t>
  </si>
  <si>
    <t>реализация основных общеобразовательных программ начального общего образования, очная форма обучения</t>
  </si>
  <si>
    <t>число обучающихся</t>
  </si>
  <si>
    <t xml:space="preserve"> реализация основных общеобразовательных программ начального общего образования (проходящие обучение по состоянию здоровья в медицинских организациях), очная форма обучения</t>
  </si>
  <si>
    <t xml:space="preserve"> реализация основных общеобразовательных программ начального общего образования (дети-инвалиды), очная форма обучения</t>
  </si>
  <si>
    <t xml:space="preserve"> реализация основных общеобразовательных программ начального общего образования (адаптированная образовательная программа ОВЗ), очная форма обучения</t>
  </si>
  <si>
    <t>реализация основных общеобразовательных программ основного общего образования, очная форма обучения</t>
  </si>
  <si>
    <t>реализация основных общеобразовательных программ основного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</si>
  <si>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основного общего образования (адаптированная) (дети-инвалиды), очная форма обучения</t>
  </si>
  <si>
    <t>реализация основных общеобразовательных программ основного общего образования (адаптированная) (ОВЗ), очная форма обучения</t>
  </si>
  <si>
    <t>реализация основных общеобразовательных программ среднего общего образования, очная форма обучения</t>
  </si>
  <si>
    <t>реализация основных общеобразовательных программ среднего общего образования (проходящие обучение в общеобразовательных организациях, созданных при исправительных учреждениях уголовно-исполнительной системы), заочная форма обучения</t>
  </si>
  <si>
    <t>реализация основных общеобразовательных программ среднего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</si>
  <si>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среднего общего образования (адаптированная) (дети-инвалиды), очная форма обучения</t>
  </si>
  <si>
    <t>реализация основных общеобразовательных программ среднего общего образования (адаптированная) (ОВЗ), очная форма обучения</t>
  </si>
  <si>
    <t>реализация основных общеобразовательных программ дошкольного образования (до 3-х лет) - очная форма, группа полного дня</t>
  </si>
  <si>
    <t xml:space="preserve"> реализация основных общеобразовательных программ дошкольного образования (до 3-х лет) - очная форма, группа кратковременного пребывания</t>
  </si>
  <si>
    <t>реализация основных общеобразовательных программ дошкольного образования (от 3-х лет до 8 лет) - очная форма, группа полного дня</t>
  </si>
  <si>
    <t xml:space="preserve"> реализация основных общеобразовательных программ дошкольного образования (до 3-х лет) (дети-инвалиды) - очная форма, группа полного дня</t>
  </si>
  <si>
    <t>реализация основных общеобразовательных программ дошкольного образования (от 3-х лет до 8 лет) (дети-инвалиды) - очная форма, группа полного дня</t>
  </si>
  <si>
    <t xml:space="preserve"> реализация основных общеобразовательных программ дошкольного образования (от 3-х лет до 8 лет) (адаптированная с ограниченными возможностями здоровья (ОВЗ)) - очная форма, группа полного дня</t>
  </si>
  <si>
    <t>присмотр и уход (физические лица льготных категорий, определяемых учредителем)</t>
  </si>
  <si>
    <t>число человеко-дней пребывания</t>
  </si>
  <si>
    <t>человеко-дни</t>
  </si>
  <si>
    <t>присмотр и уход (физические лица за исключением льготных категорий)</t>
  </si>
  <si>
    <t>количество человеко-часов</t>
  </si>
  <si>
    <t>человеко-час</t>
  </si>
  <si>
    <t>реализация дополнительных общеразвивающих программ художественной направленности</t>
  </si>
  <si>
    <t>реализация  дополнительных общеразвивающих программ туристско-краеведческой направленности</t>
  </si>
  <si>
    <t>реализация  дополнительных общеразвивающих программ социально-гуманитарной направленности</t>
  </si>
  <si>
    <t>реализация дополнительных общеразвивающих программ технической направленности</t>
  </si>
  <si>
    <t>реализация  дополнительных общеразвивающих программ естественно-научной направленности</t>
  </si>
  <si>
    <t>реализация  дополнительных общеразвивающих программ физкультурно-спортивной направленности</t>
  </si>
  <si>
    <t>Количество кружков и секций</t>
  </si>
  <si>
    <t>реализация  дополнительных общеразвивающих программ художественной направленности</t>
  </si>
  <si>
    <t>реализация  дополнительных общеразвивающих программ технической направленности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</si>
  <si>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</si>
  <si>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Число обучающихся, их родителей (законных представителей) и педагогических работников</t>
  </si>
  <si>
    <t>психолого-медико-педагогическое обследование детей</t>
  </si>
  <si>
    <t>реализация дополнительных общеразвивающих программ</t>
  </si>
  <si>
    <t>003</t>
  </si>
  <si>
    <t>Брянская городская администрация</t>
  </si>
  <si>
    <t>008</t>
  </si>
  <si>
    <t>Комитет по жилищно-коммунальному хозяйству Брянской городской администрации</t>
  </si>
  <si>
    <t>Организация и осуществление транспортного обслуживания</t>
  </si>
  <si>
    <t>Машино-часы работы автомобилей</t>
  </si>
  <si>
    <t>Содержание (эксплуатация) имущества, находящегося в государственной (муниципальной) собственности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</si>
  <si>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</si>
  <si>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Организация и содержание автомобильных дорог общего пользования и искусственных дорожных сооружений в их составе</t>
  </si>
  <si>
    <t>протяженность и площадь автомобильных дорог общего прользования</t>
  </si>
  <si>
    <t>км / тыс , м2</t>
  </si>
  <si>
    <t>Количество и протяженность искусственных дорожных сооружений в составе автомобильных дорог общего пользования</t>
  </si>
  <si>
    <t>шт/погонный метр</t>
  </si>
  <si>
    <t>Количество инженерно-транспортных сооружений</t>
  </si>
  <si>
    <t>Количество светофорных объектов</t>
  </si>
  <si>
    <t>Количество дорожных знаков и указателей</t>
  </si>
  <si>
    <t>Нанесение линий дорожной разметки</t>
  </si>
  <si>
    <t>метр квадратный</t>
  </si>
  <si>
    <t>Организация освещзения улиц</t>
  </si>
  <si>
    <t>Протяженнось линий наружнего освещения</t>
  </si>
  <si>
    <t>километр</t>
  </si>
  <si>
    <t>Количество щитов управления наружным освещением</t>
  </si>
  <si>
    <t>285</t>
  </si>
  <si>
    <t>Количество светильников</t>
  </si>
  <si>
    <t>Организация содержания фонтанов</t>
  </si>
  <si>
    <t>площадь территории</t>
  </si>
  <si>
    <t>м2</t>
  </si>
  <si>
    <t>Организация содержания городских зеленых насаждений (парки,скверы)</t>
  </si>
  <si>
    <t>площадь городских зеленых насаждений</t>
  </si>
  <si>
    <t>итого</t>
  </si>
  <si>
    <t>860,079/8045,237</t>
  </si>
  <si>
    <t>20/4062,00</t>
  </si>
  <si>
    <t>1251,11</t>
  </si>
  <si>
    <t>организация отдыха детей и молодежи</t>
  </si>
  <si>
    <t>Количество проведенных мероприятий</t>
  </si>
  <si>
    <t>коррекционно-развивающая, компенсирующая и логопедическая помощь обучающимся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</si>
  <si>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</si>
  <si>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количество мероприятий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</si>
  <si>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находящихся с социально опасном положении</t>
  </si>
  <si>
    <t xml:space="preserve">единица </t>
  </si>
  <si>
    <t>Дзюдо НП</t>
  </si>
  <si>
    <t>Дзюдо ТЭ</t>
  </si>
  <si>
    <t>Дзюдо ССМ</t>
  </si>
  <si>
    <t>Дзюдо ВСМ</t>
  </si>
  <si>
    <t>Спортивная борьба НП</t>
  </si>
  <si>
    <t>Спортивная борьба ТЭ</t>
  </si>
  <si>
    <t>Спортивная борьба ССМ</t>
  </si>
  <si>
    <t>Тяжелая атлетика НП</t>
  </si>
  <si>
    <t>Тяжелая атлетика ТЭ</t>
  </si>
  <si>
    <t>Тяжелая атлетика ССМ</t>
  </si>
  <si>
    <t>Тяжелая атлетика ВСМ</t>
  </si>
  <si>
    <t>Прыжки на батуте НП</t>
  </si>
  <si>
    <t>Прыжки на батуте ТЭ</t>
  </si>
  <si>
    <t>Прыжки на батуте ССМ</t>
  </si>
  <si>
    <t>Спортивная гимнастика НП</t>
  </si>
  <si>
    <t>Спортивная гимнастика ТЭ</t>
  </si>
  <si>
    <t>Спортивная гимнастика ССМ</t>
  </si>
  <si>
    <t>Спортивная гимнастика ВСМ</t>
  </si>
  <si>
    <t>Баскетбол НП</t>
  </si>
  <si>
    <t>Баскетбол ТЭ</t>
  </si>
  <si>
    <t>Баскетбол ССМ</t>
  </si>
  <si>
    <t>Фехтование НП</t>
  </si>
  <si>
    <t>Фехтование ТЭ</t>
  </si>
  <si>
    <t>Футбол НП</t>
  </si>
  <si>
    <t>Футбол ТЭ</t>
  </si>
  <si>
    <t>Бокс НП</t>
  </si>
  <si>
    <t>Бокс ТЭ</t>
  </si>
  <si>
    <t>Бокс ССМ</t>
  </si>
  <si>
    <t>Волейбол НП</t>
  </si>
  <si>
    <t>Волейбол ТЭ</t>
  </si>
  <si>
    <t>Волейбол ССМ</t>
  </si>
  <si>
    <t>Горнолыжный спорт НП</t>
  </si>
  <si>
    <t>Горнолыжный спорт ТЭ</t>
  </si>
  <si>
    <t>Лыжные гонки НП</t>
  </si>
  <si>
    <t>Лыжные гонки ТЭ</t>
  </si>
  <si>
    <t>Каратэ НП</t>
  </si>
  <si>
    <t>Каратэ ТЭ</t>
  </si>
  <si>
    <t>Пулевая стрельба НП</t>
  </si>
  <si>
    <t>Пулевая стрельба ТЭ</t>
  </si>
  <si>
    <t>Пулевая стрельба ССМ</t>
  </si>
  <si>
    <t>Пулевая стрельба ВСМ</t>
  </si>
  <si>
    <t>Настольный теннис НП</t>
  </si>
  <si>
    <t>Настольный теннис ТЭ</t>
  </si>
  <si>
    <t>Теннис НП</t>
  </si>
  <si>
    <t>Теннис ТЭ</t>
  </si>
  <si>
    <t>Легкая атлетика НП</t>
  </si>
  <si>
    <t>Гиревой спорт НП</t>
  </si>
  <si>
    <t>Гиревой спорт ТЭ</t>
  </si>
  <si>
    <t>Гиревой спорт ССМ</t>
  </si>
  <si>
    <t>Гиревой спорт ВСМ</t>
  </si>
  <si>
    <t>Самбо НП</t>
  </si>
  <si>
    <t>Самбо ТЭ</t>
  </si>
  <si>
    <t>Самбо ССМ</t>
  </si>
  <si>
    <t>Самбо ВСМ</t>
  </si>
  <si>
    <t>ВБЕ НП</t>
  </si>
  <si>
    <t>ВБЕ ТЭ</t>
  </si>
  <si>
    <t>Спортивная акробатика НП</t>
  </si>
  <si>
    <t>Спортивная акробатика ТЭ</t>
  </si>
  <si>
    <t>Спортивная акробатика ССМ</t>
  </si>
  <si>
    <t>Спортивная акробатика ВСМ</t>
  </si>
  <si>
    <t>Киокусинкай НП</t>
  </si>
  <si>
    <t>Киокусинкай ТЭ</t>
  </si>
  <si>
    <t>Пауэрлифтинг НП</t>
  </si>
  <si>
    <t>Пауэрлифтинг ТЭ</t>
  </si>
  <si>
    <t>Пауэрлифтинг ССМ</t>
  </si>
  <si>
    <t>Шахматы НП</t>
  </si>
  <si>
    <t>Шахматы ТЭ</t>
  </si>
  <si>
    <t>Шахматы ССМ</t>
  </si>
  <si>
    <t>Шашки НП</t>
  </si>
  <si>
    <t>Шашки ТЭ</t>
  </si>
  <si>
    <t>Тайский бокс НП</t>
  </si>
  <si>
    <t>Всестилевое каратэ НП</t>
  </si>
  <si>
    <t>Всестилевое каратэ ТЭ</t>
  </si>
  <si>
    <t>Всестилевое каратэ ССМ</t>
  </si>
  <si>
    <t>Спортивное ориентирование НП</t>
  </si>
  <si>
    <t>Спортивное ориентирование ТЭ</t>
  </si>
  <si>
    <t>Парашютный спорт НП</t>
  </si>
  <si>
    <t>Парашютный спорт ТЭ</t>
  </si>
  <si>
    <t>Спорт сверхлегкой авиации НП</t>
  </si>
  <si>
    <t>Спорт сверхлегкой авиации ТЭ</t>
  </si>
  <si>
    <t>Спорт сверхлегкой авиации ССМ</t>
  </si>
  <si>
    <t>Бодибилдинг НП</t>
  </si>
  <si>
    <t>Рукопашный бой НП</t>
  </si>
  <si>
    <t>Рукопашный бой ТЭ</t>
  </si>
  <si>
    <t>Рукопашный бой ССМ</t>
  </si>
  <si>
    <t>Фитнес-аэробика НП</t>
  </si>
  <si>
    <t>Легкая атлетика ССМ</t>
  </si>
  <si>
    <t>в том числе</t>
  </si>
  <si>
    <t>число обратившихся</t>
  </si>
  <si>
    <t>Сведения о выполнении муниципальными учреждениями городского округа город Брянск муниципальных заданий на оказание муниципальных услуг (выполнение работ), а также об объемах финансого обеспечения выполнения муниципальных заданий на оказание соответствующих услуг (выполнение работ) за 2023 год</t>
  </si>
  <si>
    <t>плановое значение на 2023 год
(в соответствии с муниципальным заданием в первоначальной редакции)</t>
  </si>
  <si>
    <t>плановое значение на 2023 год
(в соответствии с муниципальным заданием в последней редакции)</t>
  </si>
  <si>
    <t>фактическое значение по итогам 2023 года</t>
  </si>
  <si>
    <t>Финансовое обеспечение выполнения государственного задания 2023 года</t>
  </si>
  <si>
    <t>первоначальный план 
(в соответствии с заключенными соглашениями), рублей</t>
  </si>
  <si>
    <t>затраты на организацию проведения общественно-значимых мероприятий в сфере образования, науки и молодежной полититки</t>
  </si>
  <si>
    <t xml:space="preserve"> затраты на организацию проведения общественно-значимых мероприятий в сфере образования, науки и молодежной полититки</t>
  </si>
  <si>
    <t>затраты на организацию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формирования здорового образа жизни</t>
  </si>
  <si>
    <t>человеко-дней пребывания</t>
  </si>
  <si>
    <t xml:space="preserve"> затраты на оказание муниципальных услуг муниципальных прочих образовательных учреждений (МБУ БГИМЦ) города Брянска</t>
  </si>
  <si>
    <t>число лиц прошедших спортивную подготовку</t>
  </si>
  <si>
    <t>Футбол ССМ</t>
  </si>
  <si>
    <t>Хоккей</t>
  </si>
  <si>
    <t>Спортивная подготовка по неолимпийским   видам спорта</t>
  </si>
  <si>
    <t>Американский футбол ССМ</t>
  </si>
  <si>
    <t>Фитнес-аэробика ТЭ</t>
  </si>
  <si>
    <t>Спортивная подготовка поспорту лиц  с поражением ОДА</t>
  </si>
  <si>
    <t>Легкая атлетика ТЭ</t>
  </si>
  <si>
    <t>-</t>
  </si>
  <si>
    <t>Осуществление мероприятий по оказанию помощи лицам, находящимся в состоянии алкогольного, наркотического или иного токсического опьянения</t>
  </si>
  <si>
    <t>Число обратившихся</t>
  </si>
  <si>
    <t>Содержание (эксплуатация) имущества, находящегося в муниципальной (государственной) собственности</t>
  </si>
  <si>
    <t>тыс.кв.м.</t>
  </si>
  <si>
    <t>ед.</t>
  </si>
  <si>
    <t>861,039/8047,641</t>
  </si>
  <si>
    <t>885,425</t>
  </si>
  <si>
    <t>292</t>
  </si>
  <si>
    <r>
      <rPr>
        <b/>
        <i/>
        <sz val="14"/>
        <color rgb="FFFF0000"/>
        <rFont val="Times New Roman"/>
        <family val="1"/>
        <charset val="204"/>
      </rPr>
      <t xml:space="preserve">Примечание: </t>
    </r>
    <r>
      <rPr>
        <i/>
        <sz val="14"/>
        <color rgb="FFFF0000"/>
        <rFont val="Times New Roman"/>
        <family val="1"/>
        <charset val="204"/>
      </rPr>
      <t>по ГРБС "Комитет по физической культуре и спорту в графе" "Первоначальный план (в соответствии с заключенными соглашениями)" меньше утвержденного в бюджете - разница на сумму 26 149 525,70 руб. по МАУ ФОК "Бежица". Соглашение не заключалось, т.к. МАУ ФОК "Бежица" не введено в эксплуатацию.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</si>
</sst>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[Red]\-#,##0.00\ "/>
    <numFmt numFmtId="165" formatCode="0.000"/>
    <numFmt numFmtId="166" formatCode="#,##0.0"/>
    <numFmt numFmtId="167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name val="Tahoma"/>
      <family val="2"/>
      <charset val="204"/>
    </font>
    <font>
      <sz val="10"/>
      <name val="Arial Cyr"/>
      <charset val="204"/>
    </font>
    <font>
      <b/>
      <sz val="10"/>
      <color rgb="FF000000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i/>
      <sz val="14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49" fontId="3" fillId="0" borderId="2">
      <alignment horizontal="center" vertical="top" shrinkToFit="1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0" fontId="2" fillId="0" borderId="0"/>
    <xf numFmtId="0" fontId="5" fillId="0" borderId="0"/>
    <xf numFmtId="0" fontId="2" fillId="0" borderId="0"/>
    <xf numFmtId="0" fontId="1" fillId="0" borderId="0"/>
    <xf numFmtId="0" fontId="6" fillId="0" borderId="0"/>
    <xf numFmtId="0" fontId="2" fillId="0" borderId="0"/>
    <xf numFmtId="4" fontId="7" fillId="3" borderId="2">
      <alignment horizontal="right" vertical="top" shrinkToFit="1"/>
    </xf>
  </cellStyleXfs>
  <cellXfs count="117">
    <xf numFmtId="0" fontId="0" fillId="0" borderId="0" xfId="0"/>
    <xf numFmtId="0" fontId="9" fillId="2" borderId="0" xfId="0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 applyProtection="1">
      <alignment horizontal="center" vertical="center" wrapText="1"/>
    </xf>
    <xf numFmtId="43" fontId="9" fillId="2" borderId="1" xfId="0" applyNumberFormat="1" applyFont="1" applyFill="1" applyBorder="1" applyAlignment="1" applyProtection="1">
      <alignment horizontal="righ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left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right" vertical="center" wrapText="1"/>
    </xf>
    <xf numFmtId="4" fontId="9" fillId="2" borderId="0" xfId="0" applyNumberFormat="1" applyFont="1" applyFill="1" applyBorder="1" applyAlignment="1" applyProtection="1">
      <alignment horizontal="right" vertical="center" wrapText="1"/>
    </xf>
    <xf numFmtId="165" fontId="9" fillId="2" borderId="0" xfId="0" applyNumberFormat="1" applyFont="1" applyFill="1" applyBorder="1" applyAlignment="1" applyProtection="1">
      <alignment horizontal="center" vertical="center" wrapText="1"/>
    </xf>
    <xf numFmtId="0" fontId="10" fillId="2" borderId="1" xfId="7" applyFont="1" applyFill="1" applyBorder="1" applyAlignment="1">
      <alignment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49" fontId="8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 applyProtection="1">
      <alignment vertical="center" wrapText="1"/>
    </xf>
    <xf numFmtId="1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 wrapText="1"/>
    </xf>
    <xf numFmtId="166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4" fontId="8" fillId="2" borderId="4" xfId="0" applyNumberFormat="1" applyFont="1" applyFill="1" applyBorder="1" applyAlignment="1" applyProtection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3" fontId="9" fillId="5" borderId="1" xfId="0" applyNumberFormat="1" applyFont="1" applyFill="1" applyBorder="1" applyAlignment="1" applyProtection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center" vertical="center" wrapText="1"/>
    </xf>
    <xf numFmtId="4" fontId="9" fillId="5" borderId="1" xfId="0" applyNumberFormat="1" applyFont="1" applyFill="1" applyBorder="1" applyAlignment="1" applyProtection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 applyProtection="1">
      <alignment vertical="center" wrapText="1"/>
    </xf>
    <xf numFmtId="164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left" vertical="center" wrapText="1"/>
    </xf>
    <xf numFmtId="164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1" fontId="9" fillId="5" borderId="1" xfId="0" applyNumberFormat="1" applyFont="1" applyFill="1" applyBorder="1" applyAlignment="1" applyProtection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right" vertical="center" wrapText="1"/>
    </xf>
    <xf numFmtId="164" fontId="9" fillId="5" borderId="1" xfId="0" applyNumberFormat="1" applyFont="1" applyFill="1" applyBorder="1" applyAlignment="1" applyProtection="1">
      <alignment horizontal="center" vertical="center" wrapText="1"/>
    </xf>
    <xf numFmtId="49" fontId="8" fillId="4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4" fontId="8" fillId="4" borderId="1" xfId="0" applyNumberFormat="1" applyFont="1" applyFill="1" applyBorder="1" applyAlignment="1" applyProtection="1">
      <alignment horizontal="left" vertical="center" wrapText="1"/>
    </xf>
    <xf numFmtId="4" fontId="8" fillId="4" borderId="1" xfId="0" applyNumberFormat="1" applyFont="1" applyFill="1" applyBorder="1" applyAlignment="1" applyProtection="1">
      <alignment horizontal="center" vertical="center" wrapText="1"/>
    </xf>
    <xf numFmtId="4" fontId="8" fillId="4" borderId="1" xfId="0" applyNumberFormat="1" applyFont="1" applyFill="1" applyBorder="1" applyAlignment="1" applyProtection="1">
      <alignment horizontal="right" vertical="center" wrapText="1"/>
    </xf>
    <xf numFmtId="49" fontId="8" fillId="6" borderId="1" xfId="0" applyNumberFormat="1" applyFont="1" applyFill="1" applyBorder="1" applyAlignment="1" applyProtection="1">
      <alignment horizontal="center" vertical="center" wrapText="1"/>
    </xf>
    <xf numFmtId="0" fontId="8" fillId="6" borderId="1" xfId="0" applyFont="1" applyFill="1" applyBorder="1" applyAlignment="1" applyProtection="1">
      <alignment horizontal="left" vertical="center" wrapText="1"/>
    </xf>
    <xf numFmtId="4" fontId="8" fillId="6" borderId="1" xfId="0" applyNumberFormat="1" applyFont="1" applyFill="1" applyBorder="1" applyAlignment="1" applyProtection="1">
      <alignment horizontal="left" vertical="center" wrapText="1"/>
    </xf>
    <xf numFmtId="4" fontId="8" fillId="6" borderId="1" xfId="0" applyNumberFormat="1" applyFont="1" applyFill="1" applyBorder="1" applyAlignment="1" applyProtection="1">
      <alignment horizontal="center" vertical="center" wrapText="1"/>
    </xf>
    <xf numFmtId="4" fontId="8" fillId="6" borderId="1" xfId="0" applyNumberFormat="1" applyFont="1" applyFill="1" applyBorder="1" applyAlignment="1" applyProtection="1">
      <alignment horizontal="right" vertical="center" wrapText="1"/>
    </xf>
    <xf numFmtId="0" fontId="8" fillId="6" borderId="1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right" vertical="center" wrapText="1"/>
    </xf>
    <xf numFmtId="4" fontId="9" fillId="2" borderId="3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vertical="center" wrapText="1"/>
    </xf>
    <xf numFmtId="4" fontId="8" fillId="2" borderId="4" xfId="0" applyNumberFormat="1" applyFont="1" applyFill="1" applyBorder="1" applyAlignment="1" applyProtection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 applyProtection="1">
      <alignment horizontal="left" vertical="top" wrapText="1"/>
    </xf>
    <xf numFmtId="0" fontId="11" fillId="7" borderId="0" xfId="0" applyFont="1" applyFill="1" applyBorder="1" applyAlignment="1" applyProtection="1">
      <alignment horizontal="center" vertical="center" wrapText="1"/>
    </xf>
    <xf numFmtId="49" fontId="10" fillId="7" borderId="4" xfId="0" applyNumberFormat="1" applyFont="1" applyFill="1" applyBorder="1" applyAlignment="1" applyProtection="1">
      <alignment horizontal="center" vertical="center" wrapText="1"/>
    </xf>
    <xf numFmtId="0" fontId="10" fillId="7" borderId="4" xfId="0" applyFont="1" applyFill="1" applyBorder="1" applyAlignment="1" applyProtection="1">
      <alignment horizontal="left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0" fillId="7" borderId="1" xfId="0" applyNumberFormat="1" applyFont="1" applyFill="1" applyBorder="1" applyAlignment="1" applyProtection="1">
      <alignment horizontal="center" vertical="center" wrapText="1"/>
    </xf>
    <xf numFmtId="3" fontId="10" fillId="7" borderId="1" xfId="0" applyNumberFormat="1" applyFont="1" applyFill="1" applyBorder="1" applyAlignment="1" applyProtection="1">
      <alignment horizontal="center" vertical="center" wrapText="1"/>
    </xf>
    <xf numFmtId="4" fontId="10" fillId="7" borderId="4" xfId="0" applyNumberFormat="1" applyFont="1" applyFill="1" applyBorder="1" applyAlignment="1" applyProtection="1">
      <alignment horizontal="center" vertical="center" wrapText="1"/>
    </xf>
    <xf numFmtId="4" fontId="10" fillId="7" borderId="4" xfId="0" applyNumberFormat="1" applyFont="1" applyFill="1" applyBorder="1" applyAlignment="1">
      <alignment horizontal="right" vertical="center" wrapText="1"/>
    </xf>
    <xf numFmtId="0" fontId="14" fillId="7" borderId="0" xfId="0" applyFont="1" applyFill="1" applyBorder="1" applyAlignment="1" applyProtection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left" vertical="center" wrapText="1"/>
    </xf>
    <xf numFmtId="4" fontId="10" fillId="7" borderId="5" xfId="0" applyNumberFormat="1" applyFont="1" applyFill="1" applyBorder="1" applyAlignment="1">
      <alignment horizontal="right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4" fontId="10" fillId="7" borderId="1" xfId="0" applyNumberFormat="1" applyFont="1" applyFill="1" applyBorder="1" applyAlignment="1" applyProtection="1">
      <alignment horizontal="center" vertical="center" wrapText="1"/>
    </xf>
    <xf numFmtId="4" fontId="10" fillId="7" borderId="3" xfId="0" applyNumberFormat="1" applyFont="1" applyFill="1" applyBorder="1" applyAlignment="1">
      <alignment horizontal="right" vertical="center" wrapText="1"/>
    </xf>
    <xf numFmtId="167" fontId="10" fillId="7" borderId="1" xfId="0" applyNumberFormat="1" applyFont="1" applyFill="1" applyBorder="1" applyAlignment="1" applyProtection="1">
      <alignment horizontal="center" vertical="center" wrapText="1"/>
    </xf>
    <xf numFmtId="49" fontId="10" fillId="7" borderId="1" xfId="0" applyNumberFormat="1" applyFont="1" applyFill="1" applyBorder="1" applyAlignment="1" applyProtection="1">
      <alignment horizontal="center" vertical="center" wrapText="1"/>
    </xf>
    <xf numFmtId="4" fontId="10" fillId="7" borderId="4" xfId="0" applyNumberFormat="1" applyFont="1" applyFill="1" applyBorder="1" applyAlignment="1" applyProtection="1">
      <alignment horizontal="right" vertical="center" wrapText="1"/>
    </xf>
    <xf numFmtId="49" fontId="10" fillId="7" borderId="5" xfId="0" applyNumberFormat="1" applyFont="1" applyFill="1" applyBorder="1" applyAlignment="1" applyProtection="1">
      <alignment horizontal="center" vertical="center" wrapText="1"/>
    </xf>
    <xf numFmtId="0" fontId="10" fillId="7" borderId="5" xfId="0" applyFont="1" applyFill="1" applyBorder="1" applyAlignment="1" applyProtection="1">
      <alignment horizontal="left" vertical="center" wrapText="1"/>
    </xf>
    <xf numFmtId="49" fontId="10" fillId="7" borderId="3" xfId="0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 applyProtection="1">
      <alignment horizontal="left" vertical="center" wrapText="1"/>
    </xf>
    <xf numFmtId="4" fontId="10" fillId="7" borderId="1" xfId="0" applyNumberFormat="1" applyFont="1" applyFill="1" applyBorder="1" applyAlignment="1" applyProtection="1">
      <alignment horizontal="right" vertical="center" wrapText="1"/>
    </xf>
    <xf numFmtId="49" fontId="1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left" vertical="center" wrapText="1"/>
    </xf>
    <xf numFmtId="4" fontId="13" fillId="4" borderId="1" xfId="0" applyNumberFormat="1" applyFont="1" applyFill="1" applyBorder="1" applyAlignment="1" applyProtection="1">
      <alignment horizontal="left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right" vertical="center" wrapText="1"/>
    </xf>
    <xf numFmtId="4" fontId="15" fillId="2" borderId="7" xfId="0" applyNumberFormat="1" applyFont="1" applyFill="1" applyBorder="1" applyAlignment="1" applyProtection="1">
      <alignment horizontal="left" vertical="center" wrapText="1"/>
    </xf>
    <xf numFmtId="0" fontId="17" fillId="0" borderId="7" xfId="0" applyFont="1" applyBorder="1" applyAlignment="1">
      <alignment vertical="center" wrapText="1"/>
    </xf>
  </cellXfs>
  <cellStyles count="12">
    <cellStyle name="Normal_3" xfId="1"/>
    <cellStyle name="xl31" xfId="2"/>
    <cellStyle name="xl38" xfId="11"/>
    <cellStyle name="xl40" xfId="3"/>
    <cellStyle name="xl41" xfId="4"/>
    <cellStyle name="Обычный" xfId="0" builtinId="0"/>
    <cellStyle name="Обычный 10" xfId="5"/>
    <cellStyle name="Обычный 2" xfId="6"/>
    <cellStyle name="Обычный 2 2" xfId="7"/>
    <cellStyle name="Обычный 2 3" xfId="8"/>
    <cellStyle name="Обычный 3" xfId="9"/>
    <cellStyle name="Обычн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P184"/>
  <sheetViews>
    <sheetView tabSelected="1" topLeftCell="A165" zoomScale="85" zoomScaleNormal="85" zoomScaleSheetLayoutView="85" workbookViewId="0">
      <selection activeCell="D182" sqref="D182"/>
    </sheetView>
  </sheetViews>
  <sheetFormatPr defaultRowHeight="15.75" x14ac:dyDescent="0.25"/>
  <cols>
    <col min="1" max="1" width="12.5703125" style="1" customWidth="1"/>
    <col min="2" max="2" width="58.85546875" style="7" customWidth="1"/>
    <col min="3" max="3" width="33.85546875" style="1" customWidth="1"/>
    <col min="4" max="4" width="20" style="1" customWidth="1"/>
    <col min="5" max="5" width="21.7109375" style="8" customWidth="1"/>
    <col min="6" max="6" width="21.7109375" style="1" customWidth="1"/>
    <col min="7" max="7" width="20.85546875" style="1" customWidth="1"/>
    <col min="8" max="8" width="21.7109375" style="8" customWidth="1"/>
    <col min="9" max="9" width="20.28515625" style="1" customWidth="1"/>
    <col min="10" max="10" width="21.5703125" style="1" customWidth="1"/>
    <col min="11" max="11" width="15" style="14" customWidth="1"/>
    <col min="12" max="12" width="44.28515625" style="1" customWidth="1"/>
    <col min="13" max="13" width="9.140625" style="1" customWidth="1"/>
    <col min="14" max="15" width="9.140625" style="1"/>
    <col min="16" max="16" width="27.28515625" style="1" customWidth="1"/>
    <col min="17" max="16384" width="9.140625" style="1"/>
  </cols>
  <sheetData>
    <row r="2" spans="1:16" ht="39.75" customHeight="1" x14ac:dyDescent="0.25">
      <c r="A2" s="75" t="s">
        <v>213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6" ht="14.25" customHeight="1" x14ac:dyDescent="0.25"/>
    <row r="4" spans="1:16" ht="42.75" customHeight="1" x14ac:dyDescent="0.25">
      <c r="A4" s="79" t="s">
        <v>0</v>
      </c>
      <c r="B4" s="79" t="s">
        <v>1</v>
      </c>
      <c r="C4" s="80" t="s">
        <v>2</v>
      </c>
      <c r="D4" s="80" t="s">
        <v>3</v>
      </c>
      <c r="E4" s="81" t="s">
        <v>214</v>
      </c>
      <c r="F4" s="80" t="s">
        <v>215</v>
      </c>
      <c r="G4" s="80" t="s">
        <v>216</v>
      </c>
      <c r="H4" s="79" t="s">
        <v>217</v>
      </c>
      <c r="I4" s="80"/>
      <c r="J4" s="80"/>
      <c r="K4" s="77" t="s">
        <v>4</v>
      </c>
    </row>
    <row r="5" spans="1:16" ht="123" customHeight="1" x14ac:dyDescent="0.25">
      <c r="A5" s="80"/>
      <c r="B5" s="80"/>
      <c r="C5" s="80"/>
      <c r="D5" s="80"/>
      <c r="E5" s="81"/>
      <c r="F5" s="80"/>
      <c r="G5" s="80"/>
      <c r="H5" s="21" t="s">
        <v>218</v>
      </c>
      <c r="I5" s="11" t="s">
        <v>5</v>
      </c>
      <c r="J5" s="11" t="s">
        <v>6</v>
      </c>
      <c r="K5" s="78"/>
    </row>
    <row r="6" spans="1:16" x14ac:dyDescent="0.25">
      <c r="A6" s="58" t="s">
        <v>84</v>
      </c>
      <c r="B6" s="59" t="s">
        <v>85</v>
      </c>
      <c r="C6" s="59"/>
      <c r="D6" s="59"/>
      <c r="E6" s="60"/>
      <c r="F6" s="59"/>
      <c r="G6" s="59"/>
      <c r="H6" s="61">
        <f>SUM(H7:H10)</f>
        <v>99035678.620000005</v>
      </c>
      <c r="I6" s="61">
        <f t="shared" ref="I6:J6" si="0">SUM(I7:I10)</f>
        <v>109845005.04999998</v>
      </c>
      <c r="J6" s="61">
        <f t="shared" si="0"/>
        <v>103055412.75</v>
      </c>
      <c r="K6" s="62">
        <f>J6/I6*100</f>
        <v>93.818933963442902</v>
      </c>
    </row>
    <row r="7" spans="1:16" ht="61.5" customHeight="1" x14ac:dyDescent="0.25">
      <c r="A7" s="18"/>
      <c r="B7" s="41" t="s">
        <v>233</v>
      </c>
      <c r="C7" s="42" t="s">
        <v>234</v>
      </c>
      <c r="D7" s="43" t="s">
        <v>22</v>
      </c>
      <c r="E7" s="4">
        <v>300</v>
      </c>
      <c r="F7" s="4">
        <v>300</v>
      </c>
      <c r="G7" s="4">
        <v>22</v>
      </c>
      <c r="H7" s="20">
        <v>0</v>
      </c>
      <c r="I7" s="20">
        <v>8484069</v>
      </c>
      <c r="J7" s="20">
        <v>1694476.7</v>
      </c>
      <c r="K7" s="24">
        <f t="shared" ref="K7:K10" si="1">J7/I7*100</f>
        <v>19.972453076466021</v>
      </c>
    </row>
    <row r="8" spans="1:16" ht="87.75" customHeight="1" x14ac:dyDescent="0.25">
      <c r="A8" s="69"/>
      <c r="B8" s="53" t="s">
        <v>90</v>
      </c>
      <c r="C8" s="6" t="s">
        <v>235</v>
      </c>
      <c r="D8" s="6" t="s">
        <v>236</v>
      </c>
      <c r="E8" s="10">
        <v>6.95</v>
      </c>
      <c r="F8" s="10">
        <v>6.95</v>
      </c>
      <c r="G8" s="10">
        <v>6.95</v>
      </c>
      <c r="H8" s="71">
        <v>62855841.640000001</v>
      </c>
      <c r="I8" s="71">
        <v>65181099.07</v>
      </c>
      <c r="J8" s="71">
        <v>65181099.07</v>
      </c>
      <c r="K8" s="73">
        <f t="shared" si="1"/>
        <v>100</v>
      </c>
    </row>
    <row r="9" spans="1:16" ht="36" customHeight="1" x14ac:dyDescent="0.25">
      <c r="A9" s="70"/>
      <c r="B9" s="45" t="s">
        <v>88</v>
      </c>
      <c r="C9" s="23" t="s">
        <v>89</v>
      </c>
      <c r="D9" s="6" t="s">
        <v>237</v>
      </c>
      <c r="E9" s="4">
        <v>86944</v>
      </c>
      <c r="F9" s="4">
        <v>86944</v>
      </c>
      <c r="G9" s="4">
        <v>69942</v>
      </c>
      <c r="H9" s="72"/>
      <c r="I9" s="72"/>
      <c r="J9" s="72"/>
      <c r="K9" s="74" t="e">
        <f t="shared" si="1"/>
        <v>#DIV/0!</v>
      </c>
    </row>
    <row r="10" spans="1:16" ht="72" customHeight="1" x14ac:dyDescent="0.25">
      <c r="A10" s="17"/>
      <c r="B10" s="44" t="s">
        <v>91</v>
      </c>
      <c r="C10" s="46" t="s">
        <v>212</v>
      </c>
      <c r="D10" s="33" t="s">
        <v>22</v>
      </c>
      <c r="E10" s="10">
        <v>100000</v>
      </c>
      <c r="F10" s="10">
        <v>100000</v>
      </c>
      <c r="G10" s="10">
        <v>186445</v>
      </c>
      <c r="H10" s="10">
        <v>36179836.979999997</v>
      </c>
      <c r="I10" s="10">
        <v>36179836.979999997</v>
      </c>
      <c r="J10" s="10">
        <v>36179836.979999997</v>
      </c>
      <c r="K10" s="13">
        <f t="shared" si="1"/>
        <v>100</v>
      </c>
    </row>
    <row r="11" spans="1:16" ht="31.5" x14ac:dyDescent="0.25">
      <c r="A11" s="58" t="s">
        <v>43</v>
      </c>
      <c r="B11" s="59" t="s">
        <v>44</v>
      </c>
      <c r="C11" s="59"/>
      <c r="D11" s="59"/>
      <c r="E11" s="60"/>
      <c r="F11" s="60"/>
      <c r="G11" s="60"/>
      <c r="H11" s="61">
        <f>SUM(H12:H53)</f>
        <v>5614908627.079999</v>
      </c>
      <c r="I11" s="61">
        <f t="shared" ref="I11:J11" si="2">SUM(I12:I53)</f>
        <v>5942839499.6809998</v>
      </c>
      <c r="J11" s="61">
        <f t="shared" si="2"/>
        <v>5942830234.8999996</v>
      </c>
      <c r="K11" s="62">
        <f t="shared" ref="K11:K65" si="3">J11/I11*100</f>
        <v>99.999844101779956</v>
      </c>
      <c r="L11" s="7"/>
      <c r="P11" s="8"/>
    </row>
    <row r="12" spans="1:16" ht="31.5" x14ac:dyDescent="0.25">
      <c r="A12" s="2"/>
      <c r="B12" s="3" t="s">
        <v>45</v>
      </c>
      <c r="C12" s="3" t="s">
        <v>46</v>
      </c>
      <c r="D12" s="3" t="s">
        <v>7</v>
      </c>
      <c r="E12" s="4">
        <v>23591</v>
      </c>
      <c r="F12" s="4">
        <v>23590</v>
      </c>
      <c r="G12" s="4">
        <v>23590</v>
      </c>
      <c r="H12" s="5">
        <v>1152639391.4641168</v>
      </c>
      <c r="I12" s="5">
        <v>1151677561.7894671</v>
      </c>
      <c r="J12" s="5">
        <v>1151677561.7894671</v>
      </c>
      <c r="K12" s="13">
        <f t="shared" ref="K12:K53" si="4">J12/I12*100</f>
        <v>100</v>
      </c>
      <c r="L12" s="15"/>
    </row>
    <row r="13" spans="1:16" ht="63" x14ac:dyDescent="0.25">
      <c r="A13" s="2"/>
      <c r="B13" s="3" t="s">
        <v>47</v>
      </c>
      <c r="C13" s="3" t="s">
        <v>46</v>
      </c>
      <c r="D13" s="3" t="s">
        <v>7</v>
      </c>
      <c r="E13" s="4">
        <v>237</v>
      </c>
      <c r="F13" s="4">
        <v>237</v>
      </c>
      <c r="G13" s="4">
        <v>237</v>
      </c>
      <c r="H13" s="5">
        <v>10178820.820069334</v>
      </c>
      <c r="I13" s="5">
        <v>9968934.2774121948</v>
      </c>
      <c r="J13" s="5">
        <v>9968934.2774121948</v>
      </c>
      <c r="K13" s="13">
        <f t="shared" si="4"/>
        <v>100</v>
      </c>
      <c r="L13" s="15"/>
    </row>
    <row r="14" spans="1:16" ht="47.25" x14ac:dyDescent="0.25">
      <c r="A14" s="2"/>
      <c r="B14" s="3" t="s">
        <v>48</v>
      </c>
      <c r="C14" s="3" t="s">
        <v>46</v>
      </c>
      <c r="D14" s="3" t="s">
        <v>7</v>
      </c>
      <c r="E14" s="4">
        <v>180</v>
      </c>
      <c r="F14" s="4">
        <v>176</v>
      </c>
      <c r="G14" s="4">
        <v>176</v>
      </c>
      <c r="H14" s="5">
        <v>29575524.506761517</v>
      </c>
      <c r="I14" s="5">
        <v>30639071.122803994</v>
      </c>
      <c r="J14" s="5">
        <v>30639071.122803994</v>
      </c>
      <c r="K14" s="13">
        <f t="shared" si="4"/>
        <v>100</v>
      </c>
      <c r="L14" s="15"/>
    </row>
    <row r="15" spans="1:16" ht="47.25" x14ac:dyDescent="0.25">
      <c r="A15" s="2"/>
      <c r="B15" s="3" t="s">
        <v>49</v>
      </c>
      <c r="C15" s="3" t="s">
        <v>46</v>
      </c>
      <c r="D15" s="3" t="s">
        <v>7</v>
      </c>
      <c r="E15" s="4">
        <v>268</v>
      </c>
      <c r="F15" s="4">
        <v>291</v>
      </c>
      <c r="G15" s="4">
        <v>291</v>
      </c>
      <c r="H15" s="5">
        <v>49601542.383622713</v>
      </c>
      <c r="I15" s="5">
        <v>50013530.16099979</v>
      </c>
      <c r="J15" s="5">
        <v>50013530.16099979</v>
      </c>
      <c r="K15" s="13">
        <f t="shared" si="4"/>
        <v>100</v>
      </c>
      <c r="L15" s="15"/>
    </row>
    <row r="16" spans="1:16" ht="31.5" x14ac:dyDescent="0.25">
      <c r="A16" s="2"/>
      <c r="B16" s="3" t="s">
        <v>50</v>
      </c>
      <c r="C16" s="3" t="s">
        <v>46</v>
      </c>
      <c r="D16" s="3" t="s">
        <v>7</v>
      </c>
      <c r="E16" s="4">
        <v>25889</v>
      </c>
      <c r="F16" s="4">
        <v>26180</v>
      </c>
      <c r="G16" s="4">
        <v>26180</v>
      </c>
      <c r="H16" s="5">
        <v>1335874183.6401055</v>
      </c>
      <c r="I16" s="5">
        <v>1268912036.867094</v>
      </c>
      <c r="J16" s="5">
        <v>1268902772.0870941</v>
      </c>
      <c r="K16" s="13">
        <f t="shared" si="4"/>
        <v>99.99926986428288</v>
      </c>
      <c r="L16" s="15"/>
    </row>
    <row r="17" spans="1:12" ht="63" x14ac:dyDescent="0.25">
      <c r="A17" s="2"/>
      <c r="B17" s="3" t="s">
        <v>51</v>
      </c>
      <c r="C17" s="3" t="s">
        <v>46</v>
      </c>
      <c r="D17" s="3" t="s">
        <v>7</v>
      </c>
      <c r="E17" s="4">
        <v>237</v>
      </c>
      <c r="F17" s="4">
        <v>237</v>
      </c>
      <c r="G17" s="4">
        <v>237</v>
      </c>
      <c r="H17" s="5">
        <v>8600482.7200693339</v>
      </c>
      <c r="I17" s="5">
        <v>8471238.9674121961</v>
      </c>
      <c r="J17" s="5">
        <v>8471238.9674121961</v>
      </c>
      <c r="K17" s="13">
        <f t="shared" si="4"/>
        <v>100</v>
      </c>
      <c r="L17" s="15"/>
    </row>
    <row r="18" spans="1:12" ht="47.25" x14ac:dyDescent="0.25">
      <c r="A18" s="2"/>
      <c r="B18" s="3" t="s">
        <v>52</v>
      </c>
      <c r="C18" s="3" t="s">
        <v>46</v>
      </c>
      <c r="D18" s="3" t="s">
        <v>7</v>
      </c>
      <c r="E18" s="4">
        <v>227</v>
      </c>
      <c r="F18" s="4">
        <v>232</v>
      </c>
      <c r="G18" s="4">
        <v>232</v>
      </c>
      <c r="H18" s="5">
        <v>48948433.722471468</v>
      </c>
      <c r="I18" s="5">
        <v>35417940.990968898</v>
      </c>
      <c r="J18" s="5">
        <v>35417940.990968898</v>
      </c>
      <c r="K18" s="13">
        <f t="shared" si="4"/>
        <v>100</v>
      </c>
      <c r="L18" s="15"/>
    </row>
    <row r="19" spans="1:12" ht="47.25" x14ac:dyDescent="0.25">
      <c r="A19" s="2"/>
      <c r="B19" s="3" t="s">
        <v>53</v>
      </c>
      <c r="C19" s="3" t="s">
        <v>46</v>
      </c>
      <c r="D19" s="3" t="s">
        <v>7</v>
      </c>
      <c r="E19" s="4">
        <v>172</v>
      </c>
      <c r="F19" s="4">
        <v>177</v>
      </c>
      <c r="G19" s="4">
        <v>177</v>
      </c>
      <c r="H19" s="5">
        <v>37474579.390683226</v>
      </c>
      <c r="I19" s="5">
        <v>36628892.110092655</v>
      </c>
      <c r="J19" s="5">
        <v>36628892.110092655</v>
      </c>
      <c r="K19" s="13">
        <f t="shared" si="4"/>
        <v>100</v>
      </c>
      <c r="L19" s="15"/>
    </row>
    <row r="20" spans="1:12" ht="31.5" x14ac:dyDescent="0.25">
      <c r="A20" s="2"/>
      <c r="B20" s="3" t="s">
        <v>54</v>
      </c>
      <c r="C20" s="3" t="s">
        <v>46</v>
      </c>
      <c r="D20" s="3" t="s">
        <v>7</v>
      </c>
      <c r="E20" s="4">
        <v>4248</v>
      </c>
      <c r="F20" s="4">
        <v>4251</v>
      </c>
      <c r="G20" s="4">
        <v>4251</v>
      </c>
      <c r="H20" s="5">
        <v>243874650.13757184</v>
      </c>
      <c r="I20" s="5">
        <v>234590725.16408962</v>
      </c>
      <c r="J20" s="5">
        <v>234590725.16408962</v>
      </c>
      <c r="K20" s="13">
        <f t="shared" si="4"/>
        <v>100</v>
      </c>
      <c r="L20" s="15"/>
    </row>
    <row r="21" spans="1:12" ht="78.75" x14ac:dyDescent="0.25">
      <c r="A21" s="2"/>
      <c r="B21" s="3" t="s">
        <v>55</v>
      </c>
      <c r="C21" s="3" t="s">
        <v>46</v>
      </c>
      <c r="D21" s="3" t="s">
        <v>7</v>
      </c>
      <c r="E21" s="4">
        <v>281</v>
      </c>
      <c r="F21" s="4">
        <v>263</v>
      </c>
      <c r="G21" s="4">
        <v>263</v>
      </c>
      <c r="H21" s="5">
        <v>12266423.423499927</v>
      </c>
      <c r="I21" s="5">
        <v>11202444.286917331</v>
      </c>
      <c r="J21" s="5">
        <v>11202444.286917331</v>
      </c>
      <c r="K21" s="13">
        <f t="shared" si="4"/>
        <v>100</v>
      </c>
      <c r="L21" s="15"/>
    </row>
    <row r="22" spans="1:12" ht="63" x14ac:dyDescent="0.25">
      <c r="A22" s="2"/>
      <c r="B22" s="3" t="s">
        <v>56</v>
      </c>
      <c r="C22" s="3" t="s">
        <v>46</v>
      </c>
      <c r="D22" s="3" t="s">
        <v>7</v>
      </c>
      <c r="E22" s="4">
        <v>25</v>
      </c>
      <c r="F22" s="4">
        <v>25</v>
      </c>
      <c r="G22" s="4">
        <v>25</v>
      </c>
      <c r="H22" s="5">
        <v>1038477.6589946555</v>
      </c>
      <c r="I22" s="5">
        <v>1015347.8422164763</v>
      </c>
      <c r="J22" s="5">
        <v>1015347.8422164763</v>
      </c>
      <c r="K22" s="13">
        <f t="shared" si="4"/>
        <v>100</v>
      </c>
      <c r="L22" s="15"/>
    </row>
    <row r="23" spans="1:12" ht="47.25" x14ac:dyDescent="0.25">
      <c r="A23" s="2"/>
      <c r="B23" s="3" t="s">
        <v>57</v>
      </c>
      <c r="C23" s="3" t="s">
        <v>46</v>
      </c>
      <c r="D23" s="3" t="s">
        <v>7</v>
      </c>
      <c r="E23" s="4">
        <v>20</v>
      </c>
      <c r="F23" s="4">
        <v>26</v>
      </c>
      <c r="G23" s="4">
        <v>26</v>
      </c>
      <c r="H23" s="5">
        <v>5168465.9751957245</v>
      </c>
      <c r="I23" s="5">
        <v>5858128.8595051346</v>
      </c>
      <c r="J23" s="5">
        <v>5858128.8595051346</v>
      </c>
      <c r="K23" s="13">
        <f t="shared" si="4"/>
        <v>100</v>
      </c>
      <c r="L23" s="15"/>
    </row>
    <row r="24" spans="1:12" ht="47.25" x14ac:dyDescent="0.25">
      <c r="A24" s="6"/>
      <c r="B24" s="3" t="s">
        <v>58</v>
      </c>
      <c r="C24" s="3" t="s">
        <v>46</v>
      </c>
      <c r="D24" s="3" t="s">
        <v>7</v>
      </c>
      <c r="E24" s="6">
        <v>9</v>
      </c>
      <c r="F24" s="6">
        <v>7</v>
      </c>
      <c r="G24" s="6">
        <v>7</v>
      </c>
      <c r="H24" s="13">
        <v>2583106.4668380762</v>
      </c>
      <c r="I24" s="5">
        <v>1648062.7010206133</v>
      </c>
      <c r="J24" s="5">
        <v>1648062.7010206133</v>
      </c>
      <c r="K24" s="13">
        <f t="shared" si="4"/>
        <v>100</v>
      </c>
      <c r="L24" s="15"/>
    </row>
    <row r="25" spans="1:12" ht="47.25" x14ac:dyDescent="0.25">
      <c r="A25" s="6"/>
      <c r="B25" s="3" t="s">
        <v>59</v>
      </c>
      <c r="C25" s="3" t="s">
        <v>46</v>
      </c>
      <c r="D25" s="3" t="s">
        <v>7</v>
      </c>
      <c r="E25" s="6">
        <v>4238</v>
      </c>
      <c r="F25" s="6">
        <v>4090</v>
      </c>
      <c r="G25" s="6">
        <v>4090</v>
      </c>
      <c r="H25" s="13">
        <v>381330168.52331805</v>
      </c>
      <c r="I25" s="5">
        <v>474108218.42703956</v>
      </c>
      <c r="J25" s="5">
        <v>474108218.42603958</v>
      </c>
      <c r="K25" s="13">
        <f t="shared" si="4"/>
        <v>99.999999999789082</v>
      </c>
      <c r="L25" s="15"/>
    </row>
    <row r="26" spans="1:12" ht="47.25" x14ac:dyDescent="0.25">
      <c r="A26" s="6"/>
      <c r="B26" s="3" t="s">
        <v>60</v>
      </c>
      <c r="C26" s="3" t="s">
        <v>46</v>
      </c>
      <c r="D26" s="3" t="s">
        <v>7</v>
      </c>
      <c r="E26" s="6">
        <v>18</v>
      </c>
      <c r="F26" s="6">
        <v>17</v>
      </c>
      <c r="G26" s="6">
        <v>17</v>
      </c>
      <c r="H26" s="13">
        <v>958753.6880178682</v>
      </c>
      <c r="I26" s="5">
        <v>1190718.5051815826</v>
      </c>
      <c r="J26" s="5">
        <v>1190718.5051815826</v>
      </c>
      <c r="K26" s="13">
        <f t="shared" si="4"/>
        <v>100</v>
      </c>
      <c r="L26" s="15"/>
    </row>
    <row r="27" spans="1:12" ht="47.25" x14ac:dyDescent="0.25">
      <c r="A27" s="6"/>
      <c r="B27" s="3" t="s">
        <v>61</v>
      </c>
      <c r="C27" s="3" t="s">
        <v>46</v>
      </c>
      <c r="D27" s="3" t="s">
        <v>7</v>
      </c>
      <c r="E27" s="6">
        <v>18132</v>
      </c>
      <c r="F27" s="6">
        <v>17776</v>
      </c>
      <c r="G27" s="6">
        <v>17776</v>
      </c>
      <c r="H27" s="13">
        <v>1540581777.1033328</v>
      </c>
      <c r="I27" s="5">
        <v>1898078592.4404597</v>
      </c>
      <c r="J27" s="5">
        <v>1898078592.4404597</v>
      </c>
      <c r="K27" s="13">
        <f t="shared" si="4"/>
        <v>100</v>
      </c>
      <c r="L27" s="15"/>
    </row>
    <row r="28" spans="1:12" ht="47.25" x14ac:dyDescent="0.25">
      <c r="A28" s="6"/>
      <c r="B28" s="3" t="s">
        <v>62</v>
      </c>
      <c r="C28" s="3" t="s">
        <v>46</v>
      </c>
      <c r="D28" s="3" t="s">
        <v>7</v>
      </c>
      <c r="E28" s="6">
        <v>11</v>
      </c>
      <c r="F28" s="6">
        <v>12</v>
      </c>
      <c r="G28" s="6">
        <v>12</v>
      </c>
      <c r="H28" s="13">
        <v>1163201.7487886974</v>
      </c>
      <c r="I28" s="5">
        <v>1568057.0389517054</v>
      </c>
      <c r="J28" s="5">
        <v>1568057.0389517054</v>
      </c>
      <c r="K28" s="13">
        <f t="shared" si="4"/>
        <v>100</v>
      </c>
      <c r="L28" s="15"/>
    </row>
    <row r="29" spans="1:12" ht="47.25" x14ac:dyDescent="0.25">
      <c r="A29" s="6"/>
      <c r="B29" s="3" t="s">
        <v>63</v>
      </c>
      <c r="C29" s="3" t="s">
        <v>46</v>
      </c>
      <c r="D29" s="3" t="s">
        <v>7</v>
      </c>
      <c r="E29" s="6">
        <v>110</v>
      </c>
      <c r="F29" s="6">
        <v>105</v>
      </c>
      <c r="G29" s="6">
        <v>105</v>
      </c>
      <c r="H29" s="13">
        <v>10277936.967886973</v>
      </c>
      <c r="I29" s="5">
        <v>14097489.040827423</v>
      </c>
      <c r="J29" s="5">
        <v>14097489.040827423</v>
      </c>
      <c r="K29" s="13">
        <f t="shared" si="4"/>
        <v>100</v>
      </c>
      <c r="L29" s="15"/>
    </row>
    <row r="30" spans="1:12" ht="63" x14ac:dyDescent="0.25">
      <c r="A30" s="6"/>
      <c r="B30" s="3" t="s">
        <v>64</v>
      </c>
      <c r="C30" s="3" t="s">
        <v>46</v>
      </c>
      <c r="D30" s="3" t="s">
        <v>7</v>
      </c>
      <c r="E30" s="6">
        <v>1556</v>
      </c>
      <c r="F30" s="6">
        <v>1543</v>
      </c>
      <c r="G30" s="6">
        <v>1543</v>
      </c>
      <c r="H30" s="13">
        <v>171909079.78865573</v>
      </c>
      <c r="I30" s="5">
        <v>220004233.9385401</v>
      </c>
      <c r="J30" s="5">
        <v>220004233.9385401</v>
      </c>
      <c r="K30" s="13">
        <f t="shared" si="4"/>
        <v>100</v>
      </c>
      <c r="L30" s="15"/>
    </row>
    <row r="31" spans="1:12" ht="31.5" x14ac:dyDescent="0.25">
      <c r="A31" s="6"/>
      <c r="B31" s="3" t="s">
        <v>65</v>
      </c>
      <c r="C31" s="3" t="s">
        <v>66</v>
      </c>
      <c r="D31" s="3" t="s">
        <v>67</v>
      </c>
      <c r="E31" s="6">
        <v>590744</v>
      </c>
      <c r="F31" s="6">
        <v>643730</v>
      </c>
      <c r="G31" s="6">
        <v>652838</v>
      </c>
      <c r="H31" s="13">
        <v>61150039.770000003</v>
      </c>
      <c r="I31" s="5">
        <v>42880500.479999997</v>
      </c>
      <c r="J31" s="5">
        <v>42880500.479999997</v>
      </c>
      <c r="K31" s="13">
        <f t="shared" si="4"/>
        <v>100</v>
      </c>
      <c r="L31" s="15"/>
    </row>
    <row r="32" spans="1:12" ht="31.5" x14ac:dyDescent="0.25">
      <c r="A32" s="6"/>
      <c r="B32" s="3" t="s">
        <v>68</v>
      </c>
      <c r="C32" s="3" t="s">
        <v>66</v>
      </c>
      <c r="D32" s="3" t="s">
        <v>67</v>
      </c>
      <c r="E32" s="6">
        <v>2706161</v>
      </c>
      <c r="F32" s="6">
        <v>2456599</v>
      </c>
      <c r="G32" s="6">
        <v>2459652</v>
      </c>
      <c r="H32" s="13">
        <v>253604634.78</v>
      </c>
      <c r="I32" s="5">
        <v>172044258.06999999</v>
      </c>
      <c r="J32" s="5">
        <v>172044258.06999999</v>
      </c>
      <c r="K32" s="13">
        <f t="shared" si="4"/>
        <v>100</v>
      </c>
      <c r="L32" s="15"/>
    </row>
    <row r="33" spans="1:12" ht="31.5" x14ac:dyDescent="0.25">
      <c r="A33" s="6"/>
      <c r="B33" s="3" t="s">
        <v>71</v>
      </c>
      <c r="C33" s="3" t="s">
        <v>70</v>
      </c>
      <c r="D33" s="3" t="s">
        <v>7</v>
      </c>
      <c r="E33" s="4">
        <v>489868</v>
      </c>
      <c r="F33" s="4">
        <v>466934</v>
      </c>
      <c r="G33" s="4">
        <v>466934</v>
      </c>
      <c r="H33" s="13">
        <v>46150866.329750948</v>
      </c>
      <c r="I33" s="5">
        <v>54073825.228361294</v>
      </c>
      <c r="J33" s="5">
        <v>54073825.228361294</v>
      </c>
      <c r="K33" s="13">
        <f t="shared" si="4"/>
        <v>100</v>
      </c>
      <c r="L33" s="15"/>
    </row>
    <row r="34" spans="1:12" ht="38.25" customHeight="1" x14ac:dyDescent="0.25">
      <c r="A34" s="6"/>
      <c r="B34" s="47" t="s">
        <v>72</v>
      </c>
      <c r="C34" s="3" t="s">
        <v>70</v>
      </c>
      <c r="D34" s="3" t="s">
        <v>7</v>
      </c>
      <c r="E34" s="4">
        <v>137268</v>
      </c>
      <c r="F34" s="4">
        <v>124495</v>
      </c>
      <c r="G34" s="4">
        <v>124495</v>
      </c>
      <c r="H34" s="13">
        <v>11494804.337526465</v>
      </c>
      <c r="I34" s="5">
        <v>13022410.07233399</v>
      </c>
      <c r="J34" s="5">
        <v>13022410.07233399</v>
      </c>
      <c r="K34" s="13">
        <f t="shared" si="4"/>
        <v>100</v>
      </c>
      <c r="L34" s="15"/>
    </row>
    <row r="35" spans="1:12" ht="30.75" customHeight="1" x14ac:dyDescent="0.25">
      <c r="A35" s="6"/>
      <c r="B35" s="3" t="s">
        <v>73</v>
      </c>
      <c r="C35" s="3" t="s">
        <v>70</v>
      </c>
      <c r="D35" s="3" t="s">
        <v>7</v>
      </c>
      <c r="E35" s="4">
        <v>398820</v>
      </c>
      <c r="F35" s="4">
        <v>375484</v>
      </c>
      <c r="G35" s="4">
        <v>375484</v>
      </c>
      <c r="H35" s="13">
        <v>39046320.253171787</v>
      </c>
      <c r="I35" s="5">
        <v>44538986.959099129</v>
      </c>
      <c r="J35" s="5">
        <v>44538986.959099129</v>
      </c>
      <c r="K35" s="13">
        <f t="shared" si="4"/>
        <v>100</v>
      </c>
      <c r="L35" s="15"/>
    </row>
    <row r="36" spans="1:12" ht="30" customHeight="1" x14ac:dyDescent="0.25">
      <c r="A36" s="6"/>
      <c r="B36" s="3" t="s">
        <v>74</v>
      </c>
      <c r="C36" s="3" t="s">
        <v>70</v>
      </c>
      <c r="D36" s="3" t="s">
        <v>7</v>
      </c>
      <c r="E36" s="4">
        <v>74748</v>
      </c>
      <c r="F36" s="4">
        <v>70375</v>
      </c>
      <c r="G36" s="4">
        <v>70375</v>
      </c>
      <c r="H36" s="13">
        <v>6349102.841377073</v>
      </c>
      <c r="I36" s="5">
        <v>7429516.4898586664</v>
      </c>
      <c r="J36" s="5">
        <v>7429516.4898586664</v>
      </c>
      <c r="K36" s="13">
        <f t="shared" si="4"/>
        <v>100</v>
      </c>
      <c r="L36" s="15"/>
    </row>
    <row r="37" spans="1:12" ht="31.5" x14ac:dyDescent="0.25">
      <c r="A37" s="6"/>
      <c r="B37" s="3" t="s">
        <v>75</v>
      </c>
      <c r="C37" s="3" t="s">
        <v>70</v>
      </c>
      <c r="D37" s="3" t="s">
        <v>7</v>
      </c>
      <c r="E37" s="4">
        <v>54432</v>
      </c>
      <c r="F37" s="4">
        <v>47595</v>
      </c>
      <c r="G37" s="4">
        <v>47595</v>
      </c>
      <c r="H37" s="13">
        <v>4905785.7609546315</v>
      </c>
      <c r="I37" s="5">
        <v>5596773.7100621415</v>
      </c>
      <c r="J37" s="5">
        <v>5596773.7100621415</v>
      </c>
      <c r="K37" s="13">
        <f t="shared" si="4"/>
        <v>100</v>
      </c>
      <c r="L37" s="15"/>
    </row>
    <row r="38" spans="1:12" ht="31.5" x14ac:dyDescent="0.25">
      <c r="A38" s="6"/>
      <c r="B38" s="3" t="s">
        <v>76</v>
      </c>
      <c r="C38" s="3" t="s">
        <v>70</v>
      </c>
      <c r="D38" s="3" t="s">
        <v>7</v>
      </c>
      <c r="E38" s="4">
        <v>76752</v>
      </c>
      <c r="F38" s="4">
        <v>67491</v>
      </c>
      <c r="G38" s="4">
        <v>67491</v>
      </c>
      <c r="H38" s="13">
        <v>6781426.0272190971</v>
      </c>
      <c r="I38" s="5">
        <v>7600430.3802847778</v>
      </c>
      <c r="J38" s="5">
        <v>7600430.3802847778</v>
      </c>
      <c r="K38" s="13">
        <f t="shared" si="4"/>
        <v>100</v>
      </c>
      <c r="L38" s="15"/>
    </row>
    <row r="39" spans="1:12" ht="47.25" x14ac:dyDescent="0.25">
      <c r="A39" s="6"/>
      <c r="B39" s="3" t="s">
        <v>219</v>
      </c>
      <c r="C39" s="3" t="s">
        <v>8</v>
      </c>
      <c r="D39" s="3" t="s">
        <v>9</v>
      </c>
      <c r="E39" s="4">
        <v>139</v>
      </c>
      <c r="F39" s="4">
        <v>141</v>
      </c>
      <c r="G39" s="4">
        <v>141</v>
      </c>
      <c r="H39" s="13">
        <v>1320199.76</v>
      </c>
      <c r="I39" s="5">
        <v>1336125.25</v>
      </c>
      <c r="J39" s="5">
        <v>1336125.25</v>
      </c>
      <c r="K39" s="13">
        <f t="shared" si="4"/>
        <v>100</v>
      </c>
      <c r="L39" s="15"/>
    </row>
    <row r="40" spans="1:12" ht="47.25" x14ac:dyDescent="0.25">
      <c r="A40" s="6"/>
      <c r="B40" s="3" t="s">
        <v>220</v>
      </c>
      <c r="C40" s="3" t="s">
        <v>77</v>
      </c>
      <c r="D40" s="3" t="s">
        <v>9</v>
      </c>
      <c r="E40" s="4">
        <v>107</v>
      </c>
      <c r="F40" s="4">
        <v>114</v>
      </c>
      <c r="G40" s="4">
        <v>114</v>
      </c>
      <c r="H40" s="13">
        <v>278340.65999999997</v>
      </c>
      <c r="I40" s="5">
        <v>321258.90999999997</v>
      </c>
      <c r="J40" s="5">
        <v>321258.90999999997</v>
      </c>
      <c r="K40" s="13">
        <f t="shared" si="4"/>
        <v>100</v>
      </c>
      <c r="L40" s="15"/>
    </row>
    <row r="41" spans="1:12" ht="94.5" x14ac:dyDescent="0.25">
      <c r="A41" s="6"/>
      <c r="B41" s="3" t="s">
        <v>221</v>
      </c>
      <c r="C41" s="3" t="s">
        <v>8</v>
      </c>
      <c r="D41" s="3" t="s">
        <v>9</v>
      </c>
      <c r="E41" s="4">
        <v>37</v>
      </c>
      <c r="F41" s="4">
        <v>37</v>
      </c>
      <c r="G41" s="4">
        <v>37</v>
      </c>
      <c r="H41" s="13">
        <v>87711.64</v>
      </c>
      <c r="I41" s="5">
        <v>87711.64</v>
      </c>
      <c r="J41" s="5">
        <v>87711.64</v>
      </c>
      <c r="K41" s="13">
        <f t="shared" si="4"/>
        <v>100</v>
      </c>
      <c r="L41" s="15"/>
    </row>
    <row r="42" spans="1:12" ht="42" customHeight="1" x14ac:dyDescent="0.25">
      <c r="A42" s="6"/>
      <c r="B42" s="3" t="s">
        <v>78</v>
      </c>
      <c r="C42" s="3" t="s">
        <v>70</v>
      </c>
      <c r="D42" s="3" t="s">
        <v>7</v>
      </c>
      <c r="E42" s="6">
        <v>599904</v>
      </c>
      <c r="F42" s="4">
        <v>567824</v>
      </c>
      <c r="G42" s="4">
        <v>567824</v>
      </c>
      <c r="H42" s="13">
        <v>53739807.955435239</v>
      </c>
      <c r="I42" s="5">
        <v>50876056.630652882</v>
      </c>
      <c r="J42" s="5">
        <v>50876056.630652882</v>
      </c>
      <c r="K42" s="13">
        <f t="shared" si="4"/>
        <v>100</v>
      </c>
      <c r="L42" s="15"/>
    </row>
    <row r="43" spans="1:12" ht="45" customHeight="1" x14ac:dyDescent="0.25">
      <c r="A43" s="6"/>
      <c r="B43" s="47" t="s">
        <v>72</v>
      </c>
      <c r="C43" s="3" t="s">
        <v>70</v>
      </c>
      <c r="D43" s="3" t="s">
        <v>7</v>
      </c>
      <c r="E43" s="6">
        <v>170780</v>
      </c>
      <c r="F43" s="4">
        <v>169328</v>
      </c>
      <c r="G43" s="4">
        <v>169328</v>
      </c>
      <c r="H43" s="13">
        <v>15037268.978687238</v>
      </c>
      <c r="I43" s="5">
        <v>14921387.65023499</v>
      </c>
      <c r="J43" s="5">
        <v>14921387.65023499</v>
      </c>
      <c r="K43" s="13">
        <f t="shared" si="4"/>
        <v>100</v>
      </c>
      <c r="L43" s="15"/>
    </row>
    <row r="44" spans="1:12" ht="34.5" customHeight="1" x14ac:dyDescent="0.25">
      <c r="A44" s="6"/>
      <c r="B44" s="3" t="s">
        <v>73</v>
      </c>
      <c r="C44" s="3" t="s">
        <v>70</v>
      </c>
      <c r="D44" s="3" t="s">
        <v>7</v>
      </c>
      <c r="E44" s="6">
        <v>204832</v>
      </c>
      <c r="F44" s="4">
        <v>210303</v>
      </c>
      <c r="G44" s="4">
        <v>210303</v>
      </c>
      <c r="H44" s="13">
        <v>18218993.239983514</v>
      </c>
      <c r="I44" s="5">
        <v>18853622.727782048</v>
      </c>
      <c r="J44" s="5">
        <v>18853622.727782048</v>
      </c>
      <c r="K44" s="13">
        <f t="shared" si="4"/>
        <v>100</v>
      </c>
      <c r="L44" s="15"/>
    </row>
    <row r="45" spans="1:12" ht="72.75" customHeight="1" x14ac:dyDescent="0.25">
      <c r="A45" s="6"/>
      <c r="B45" s="3" t="s">
        <v>79</v>
      </c>
      <c r="C45" s="3" t="s">
        <v>70</v>
      </c>
      <c r="D45" s="3" t="s">
        <v>7</v>
      </c>
      <c r="E45" s="6">
        <v>101160</v>
      </c>
      <c r="F45" s="4">
        <v>99782</v>
      </c>
      <c r="G45" s="4">
        <v>99782</v>
      </c>
      <c r="H45" s="13">
        <v>8749559.1145099029</v>
      </c>
      <c r="I45" s="5">
        <v>8500286.8185933083</v>
      </c>
      <c r="J45" s="5">
        <v>8500286.8185933083</v>
      </c>
      <c r="K45" s="13">
        <f t="shared" si="4"/>
        <v>100</v>
      </c>
      <c r="L45" s="15"/>
    </row>
    <row r="46" spans="1:12" ht="72.75" customHeight="1" x14ac:dyDescent="0.25">
      <c r="A46" s="6"/>
      <c r="B46" s="3" t="s">
        <v>75</v>
      </c>
      <c r="C46" s="3" t="s">
        <v>70</v>
      </c>
      <c r="D46" s="3" t="s">
        <v>7</v>
      </c>
      <c r="E46" s="6">
        <v>11952</v>
      </c>
      <c r="F46" s="4">
        <v>14912</v>
      </c>
      <c r="G46" s="4">
        <v>14912</v>
      </c>
      <c r="H46" s="13">
        <v>1099481.7525470774</v>
      </c>
      <c r="I46" s="5">
        <v>1323366.7026929045</v>
      </c>
      <c r="J46" s="5">
        <v>1323366.7026929045</v>
      </c>
      <c r="K46" s="13">
        <f t="shared" si="4"/>
        <v>100</v>
      </c>
      <c r="L46" s="15"/>
    </row>
    <row r="47" spans="1:12" ht="29.25" customHeight="1" x14ac:dyDescent="0.25">
      <c r="A47" s="6"/>
      <c r="B47" s="3" t="s">
        <v>76</v>
      </c>
      <c r="C47" s="3" t="s">
        <v>70</v>
      </c>
      <c r="D47" s="3" t="s">
        <v>7</v>
      </c>
      <c r="E47" s="6">
        <v>95380</v>
      </c>
      <c r="F47" s="4">
        <v>93228</v>
      </c>
      <c r="G47" s="4">
        <v>93228</v>
      </c>
      <c r="H47" s="13">
        <v>8268935.4788370356</v>
      </c>
      <c r="I47" s="5">
        <v>8098981.2500438644</v>
      </c>
      <c r="J47" s="5">
        <v>8098981.2500438644</v>
      </c>
      <c r="K47" s="13">
        <f t="shared" si="4"/>
        <v>100</v>
      </c>
      <c r="L47" s="15"/>
    </row>
    <row r="48" spans="1:12" ht="29.25" customHeight="1" x14ac:dyDescent="0.25">
      <c r="A48" s="6"/>
      <c r="B48" s="3" t="s">
        <v>117</v>
      </c>
      <c r="C48" s="16" t="s">
        <v>222</v>
      </c>
      <c r="D48" s="16" t="s">
        <v>40</v>
      </c>
      <c r="E48" s="6">
        <v>69510</v>
      </c>
      <c r="F48" s="4">
        <v>80889</v>
      </c>
      <c r="G48" s="4">
        <v>80889</v>
      </c>
      <c r="H48" s="13">
        <v>16718762.449999999</v>
      </c>
      <c r="I48" s="5">
        <v>18540529.289999999</v>
      </c>
      <c r="J48" s="5">
        <v>18540529.289999999</v>
      </c>
      <c r="K48" s="13">
        <f t="shared" si="4"/>
        <v>100</v>
      </c>
      <c r="L48" s="15"/>
    </row>
    <row r="49" spans="1:12" ht="49.5" customHeight="1" x14ac:dyDescent="0.25">
      <c r="A49" s="6"/>
      <c r="B49" s="3" t="s">
        <v>223</v>
      </c>
      <c r="C49" s="3" t="s">
        <v>8</v>
      </c>
      <c r="D49" s="3" t="s">
        <v>9</v>
      </c>
      <c r="E49" s="6">
        <v>375</v>
      </c>
      <c r="F49" s="6">
        <v>370</v>
      </c>
      <c r="G49" s="6">
        <v>370</v>
      </c>
      <c r="H49" s="13">
        <v>7375119.6200000001</v>
      </c>
      <c r="I49" s="5">
        <v>7285987.5800000001</v>
      </c>
      <c r="J49" s="5">
        <v>7285987.5800000001</v>
      </c>
      <c r="K49" s="13">
        <f t="shared" si="4"/>
        <v>100</v>
      </c>
      <c r="L49" s="15"/>
    </row>
    <row r="50" spans="1:12" ht="29.25" customHeight="1" x14ac:dyDescent="0.25">
      <c r="A50" s="6"/>
      <c r="B50" s="3" t="s">
        <v>83</v>
      </c>
      <c r="C50" s="3" t="s">
        <v>69</v>
      </c>
      <c r="D50" s="3" t="s">
        <v>70</v>
      </c>
      <c r="E50" s="6">
        <v>4500</v>
      </c>
      <c r="F50" s="6">
        <v>4026</v>
      </c>
      <c r="G50" s="6">
        <v>4535</v>
      </c>
      <c r="H50" s="13">
        <v>2649111.0099999998</v>
      </c>
      <c r="I50" s="5">
        <v>2649111.0099999998</v>
      </c>
      <c r="J50" s="5">
        <v>2649111.0099999998</v>
      </c>
      <c r="K50" s="13">
        <f t="shared" si="4"/>
        <v>100</v>
      </c>
      <c r="L50" s="15"/>
    </row>
    <row r="51" spans="1:12" ht="29.25" customHeight="1" x14ac:dyDescent="0.25">
      <c r="A51" s="6"/>
      <c r="B51" s="3" t="s">
        <v>119</v>
      </c>
      <c r="C51" s="3" t="s">
        <v>81</v>
      </c>
      <c r="D51" s="3" t="s">
        <v>7</v>
      </c>
      <c r="E51" s="6">
        <v>70</v>
      </c>
      <c r="F51" s="4">
        <v>72</v>
      </c>
      <c r="G51" s="4">
        <v>78</v>
      </c>
      <c r="H51" s="13">
        <v>1053290.83</v>
      </c>
      <c r="I51" s="5">
        <v>1055159.57</v>
      </c>
      <c r="J51" s="5">
        <v>1055159.57</v>
      </c>
      <c r="K51" s="13">
        <f t="shared" si="4"/>
        <v>100</v>
      </c>
      <c r="L51" s="15"/>
    </row>
    <row r="52" spans="1:12" ht="29.25" customHeight="1" x14ac:dyDescent="0.25">
      <c r="A52" s="6"/>
      <c r="B52" s="3" t="s">
        <v>80</v>
      </c>
      <c r="C52" s="3" t="s">
        <v>81</v>
      </c>
      <c r="D52" s="3" t="s">
        <v>7</v>
      </c>
      <c r="E52" s="6">
        <v>1700</v>
      </c>
      <c r="F52" s="4">
        <v>1832</v>
      </c>
      <c r="G52" s="4">
        <v>2098</v>
      </c>
      <c r="H52" s="13">
        <v>3763621.82</v>
      </c>
      <c r="I52" s="5">
        <v>3918325.47</v>
      </c>
      <c r="J52" s="5">
        <v>3918325.47</v>
      </c>
      <c r="K52" s="13">
        <f t="shared" si="4"/>
        <v>100</v>
      </c>
      <c r="L52" s="15"/>
    </row>
    <row r="53" spans="1:12" ht="29.25" customHeight="1" x14ac:dyDescent="0.25">
      <c r="A53" s="6"/>
      <c r="B53" s="3" t="s">
        <v>82</v>
      </c>
      <c r="C53" s="3" t="s">
        <v>46</v>
      </c>
      <c r="D53" s="3" t="s">
        <v>7</v>
      </c>
      <c r="E53" s="6">
        <v>1400</v>
      </c>
      <c r="F53" s="4">
        <v>1240</v>
      </c>
      <c r="G53" s="4">
        <v>1240</v>
      </c>
      <c r="H53" s="13">
        <v>3020442.54</v>
      </c>
      <c r="I53" s="5">
        <v>2793663.26</v>
      </c>
      <c r="J53" s="5">
        <v>2793663.26</v>
      </c>
      <c r="K53" s="13">
        <f t="shared" si="4"/>
        <v>100</v>
      </c>
      <c r="L53" s="15"/>
    </row>
    <row r="54" spans="1:12" ht="31.5" x14ac:dyDescent="0.25">
      <c r="A54" s="58" t="s">
        <v>12</v>
      </c>
      <c r="B54" s="59" t="s">
        <v>13</v>
      </c>
      <c r="C54" s="59"/>
      <c r="D54" s="59"/>
      <c r="E54" s="60"/>
      <c r="F54" s="60"/>
      <c r="G54" s="60"/>
      <c r="H54" s="61">
        <f>SUM(H55:H65)</f>
        <v>735817866.13</v>
      </c>
      <c r="I54" s="61">
        <f t="shared" ref="I54:J54" si="5">SUM(I55:I65)</f>
        <v>752145912.56999993</v>
      </c>
      <c r="J54" s="61">
        <f t="shared" si="5"/>
        <v>752145912.56999993</v>
      </c>
      <c r="K54" s="62">
        <f t="shared" si="3"/>
        <v>100</v>
      </c>
    </row>
    <row r="55" spans="1:12" ht="31.5" x14ac:dyDescent="0.25">
      <c r="A55" s="2" t="s">
        <v>12</v>
      </c>
      <c r="B55" s="9" t="s">
        <v>14</v>
      </c>
      <c r="C55" s="6" t="s">
        <v>15</v>
      </c>
      <c r="D55" s="12" t="s">
        <v>16</v>
      </c>
      <c r="E55" s="4">
        <v>373891</v>
      </c>
      <c r="F55" s="29">
        <v>382760.5</v>
      </c>
      <c r="G55" s="4">
        <v>382598.5</v>
      </c>
      <c r="H55" s="10">
        <v>80510572.450000003</v>
      </c>
      <c r="I55" s="10">
        <v>79675604.450000003</v>
      </c>
      <c r="J55" s="10">
        <v>79675604.450000003</v>
      </c>
      <c r="K55" s="22">
        <f t="shared" si="3"/>
        <v>100</v>
      </c>
    </row>
    <row r="56" spans="1:12" ht="31.5" x14ac:dyDescent="0.25">
      <c r="A56" s="2" t="s">
        <v>12</v>
      </c>
      <c r="B56" s="9" t="s">
        <v>17</v>
      </c>
      <c r="C56" s="6" t="s">
        <v>15</v>
      </c>
      <c r="D56" s="12" t="s">
        <v>16</v>
      </c>
      <c r="E56" s="4">
        <v>1037617</v>
      </c>
      <c r="F56" s="4">
        <v>998139</v>
      </c>
      <c r="G56" s="4">
        <v>990461.5</v>
      </c>
      <c r="H56" s="10">
        <v>186385500.55000001</v>
      </c>
      <c r="I56" s="10">
        <v>188878764.44</v>
      </c>
      <c r="J56" s="10">
        <v>188878764.44</v>
      </c>
      <c r="K56" s="22">
        <f t="shared" si="3"/>
        <v>100</v>
      </c>
    </row>
    <row r="57" spans="1:12" ht="63" x14ac:dyDescent="0.25">
      <c r="A57" s="2" t="s">
        <v>12</v>
      </c>
      <c r="B57" s="9" t="s">
        <v>18</v>
      </c>
      <c r="C57" s="6" t="s">
        <v>19</v>
      </c>
      <c r="D57" s="12" t="s">
        <v>9</v>
      </c>
      <c r="E57" s="4">
        <v>1049220</v>
      </c>
      <c r="F57" s="4">
        <v>1086135</v>
      </c>
      <c r="G57" s="4">
        <v>1154541</v>
      </c>
      <c r="H57" s="10">
        <v>114652696.13</v>
      </c>
      <c r="I57" s="10">
        <v>119895555.36</v>
      </c>
      <c r="J57" s="10">
        <v>119895555.36</v>
      </c>
      <c r="K57" s="22">
        <f t="shared" si="3"/>
        <v>100</v>
      </c>
    </row>
    <row r="58" spans="1:12" ht="31.5" x14ac:dyDescent="0.25">
      <c r="A58" s="2" t="s">
        <v>12</v>
      </c>
      <c r="B58" s="9" t="s">
        <v>20</v>
      </c>
      <c r="C58" s="6" t="s">
        <v>21</v>
      </c>
      <c r="D58" s="12" t="s">
        <v>22</v>
      </c>
      <c r="E58" s="4">
        <v>188460</v>
      </c>
      <c r="F58" s="4">
        <v>177258</v>
      </c>
      <c r="G58" s="4">
        <v>178603</v>
      </c>
      <c r="H58" s="10">
        <v>81978176</v>
      </c>
      <c r="I58" s="10">
        <v>84291117.959999993</v>
      </c>
      <c r="J58" s="10">
        <v>84291117.959999993</v>
      </c>
      <c r="K58" s="22">
        <f t="shared" si="3"/>
        <v>100</v>
      </c>
    </row>
    <row r="59" spans="1:12" ht="31.5" x14ac:dyDescent="0.25">
      <c r="A59" s="2" t="s">
        <v>12</v>
      </c>
      <c r="B59" s="9" t="s">
        <v>23</v>
      </c>
      <c r="C59" s="6" t="s">
        <v>24</v>
      </c>
      <c r="D59" s="12" t="s">
        <v>9</v>
      </c>
      <c r="E59" s="4">
        <v>3954</v>
      </c>
      <c r="F59" s="4">
        <v>4965</v>
      </c>
      <c r="G59" s="4">
        <v>5137</v>
      </c>
      <c r="H59" s="10">
        <v>51043180.229999997</v>
      </c>
      <c r="I59" s="10">
        <v>53163772.490000002</v>
      </c>
      <c r="J59" s="10">
        <v>53163772.490000002</v>
      </c>
      <c r="K59" s="22">
        <f t="shared" si="3"/>
        <v>100</v>
      </c>
    </row>
    <row r="60" spans="1:12" ht="31.5" x14ac:dyDescent="0.25">
      <c r="A60" s="2" t="s">
        <v>12</v>
      </c>
      <c r="B60" s="9" t="s">
        <v>25</v>
      </c>
      <c r="C60" s="6" t="s">
        <v>26</v>
      </c>
      <c r="D60" s="12" t="s">
        <v>9</v>
      </c>
      <c r="E60" s="4">
        <v>254</v>
      </c>
      <c r="F60" s="4">
        <v>267</v>
      </c>
      <c r="G60" s="4">
        <v>269</v>
      </c>
      <c r="H60" s="10">
        <v>119453860.40000001</v>
      </c>
      <c r="I60" s="10">
        <v>124412259.34</v>
      </c>
      <c r="J60" s="10">
        <v>124412259.34</v>
      </c>
      <c r="K60" s="22">
        <f t="shared" si="3"/>
        <v>100</v>
      </c>
    </row>
    <row r="61" spans="1:12" x14ac:dyDescent="0.25">
      <c r="A61" s="2" t="s">
        <v>12</v>
      </c>
      <c r="B61" s="9" t="s">
        <v>27</v>
      </c>
      <c r="C61" s="6" t="s">
        <v>21</v>
      </c>
      <c r="D61" s="12" t="s">
        <v>22</v>
      </c>
      <c r="E61" s="4">
        <v>4000</v>
      </c>
      <c r="F61" s="4">
        <v>4050</v>
      </c>
      <c r="G61" s="4">
        <v>4050</v>
      </c>
      <c r="H61" s="10">
        <v>151331.37</v>
      </c>
      <c r="I61" s="10">
        <v>155764.66</v>
      </c>
      <c r="J61" s="10">
        <v>155764.66</v>
      </c>
      <c r="K61" s="22">
        <f t="shared" si="3"/>
        <v>100</v>
      </c>
    </row>
    <row r="62" spans="1:12" ht="31.5" x14ac:dyDescent="0.25">
      <c r="A62" s="2" t="s">
        <v>12</v>
      </c>
      <c r="B62" s="9" t="s">
        <v>28</v>
      </c>
      <c r="C62" s="6" t="s">
        <v>29</v>
      </c>
      <c r="D62" s="12" t="s">
        <v>9</v>
      </c>
      <c r="E62" s="4">
        <v>44</v>
      </c>
      <c r="F62" s="4">
        <v>44</v>
      </c>
      <c r="G62" s="4">
        <v>44</v>
      </c>
      <c r="H62" s="10">
        <v>4495221</v>
      </c>
      <c r="I62" s="10">
        <v>4373663.2300000004</v>
      </c>
      <c r="J62" s="10">
        <v>4373663.2300000004</v>
      </c>
      <c r="K62" s="22">
        <f t="shared" si="3"/>
        <v>100</v>
      </c>
    </row>
    <row r="63" spans="1:12" ht="31.5" x14ac:dyDescent="0.25">
      <c r="A63" s="2" t="s">
        <v>12</v>
      </c>
      <c r="B63" s="9" t="s">
        <v>23</v>
      </c>
      <c r="C63" s="6" t="s">
        <v>118</v>
      </c>
      <c r="D63" s="12" t="s">
        <v>9</v>
      </c>
      <c r="E63" s="4">
        <v>1139</v>
      </c>
      <c r="F63" s="4">
        <v>1139</v>
      </c>
      <c r="G63" s="4">
        <v>1114</v>
      </c>
      <c r="H63" s="30">
        <v>29587030</v>
      </c>
      <c r="I63" s="30">
        <v>30805533.640000001</v>
      </c>
      <c r="J63" s="30">
        <v>30805533.640000001</v>
      </c>
      <c r="K63" s="32">
        <f t="shared" si="3"/>
        <v>100</v>
      </c>
    </row>
    <row r="64" spans="1:12" ht="78.75" x14ac:dyDescent="0.25">
      <c r="A64" s="2" t="s">
        <v>12</v>
      </c>
      <c r="B64" s="9" t="s">
        <v>30</v>
      </c>
      <c r="C64" s="6" t="s">
        <v>31</v>
      </c>
      <c r="D64" s="12" t="s">
        <v>9</v>
      </c>
      <c r="E64" s="4">
        <v>2900</v>
      </c>
      <c r="F64" s="4">
        <v>2900</v>
      </c>
      <c r="G64" s="4">
        <v>2733</v>
      </c>
      <c r="H64" s="10">
        <v>11339674</v>
      </c>
      <c r="I64" s="10">
        <v>10653253</v>
      </c>
      <c r="J64" s="10">
        <v>10653253</v>
      </c>
      <c r="K64" s="22">
        <f t="shared" si="3"/>
        <v>100</v>
      </c>
    </row>
    <row r="65" spans="1:12" ht="47.25" x14ac:dyDescent="0.25">
      <c r="A65" s="2" t="s">
        <v>12</v>
      </c>
      <c r="B65" s="9" t="s">
        <v>32</v>
      </c>
      <c r="C65" s="6" t="s">
        <v>33</v>
      </c>
      <c r="D65" s="12" t="s">
        <v>34</v>
      </c>
      <c r="E65" s="31">
        <v>541.21900000000005</v>
      </c>
      <c r="F65" s="31">
        <v>541.21900000000005</v>
      </c>
      <c r="G65" s="31">
        <v>541.21900000000005</v>
      </c>
      <c r="H65" s="10">
        <v>56220624</v>
      </c>
      <c r="I65" s="10">
        <v>55840624</v>
      </c>
      <c r="J65" s="10">
        <v>55840624</v>
      </c>
      <c r="K65" s="22">
        <f t="shared" si="3"/>
        <v>100</v>
      </c>
    </row>
    <row r="66" spans="1:12" s="83" customFormat="1" ht="31.5" x14ac:dyDescent="0.25">
      <c r="A66" s="110" t="s">
        <v>86</v>
      </c>
      <c r="B66" s="111" t="s">
        <v>87</v>
      </c>
      <c r="C66" s="111"/>
      <c r="D66" s="111"/>
      <c r="E66" s="112"/>
      <c r="F66" s="111"/>
      <c r="G66" s="111"/>
      <c r="H66" s="113">
        <f>H67+H73+H76+H77</f>
        <v>451847330.97000003</v>
      </c>
      <c r="I66" s="113">
        <f t="shared" ref="I66:J66" si="6">I67+I73+I76+I77</f>
        <v>541335647.71000004</v>
      </c>
      <c r="J66" s="113">
        <f t="shared" si="6"/>
        <v>541335647.71000004</v>
      </c>
      <c r="K66" s="114">
        <f t="shared" ref="K66:K180" si="7">J66/I66*100</f>
        <v>100</v>
      </c>
    </row>
    <row r="67" spans="1:12" s="83" customFormat="1" ht="47.25" x14ac:dyDescent="0.25">
      <c r="A67" s="84" t="s">
        <v>86</v>
      </c>
      <c r="B67" s="85" t="s">
        <v>92</v>
      </c>
      <c r="C67" s="86" t="s">
        <v>93</v>
      </c>
      <c r="D67" s="87" t="s">
        <v>94</v>
      </c>
      <c r="E67" s="88" t="s">
        <v>114</v>
      </c>
      <c r="F67" s="88" t="s">
        <v>238</v>
      </c>
      <c r="G67" s="88" t="s">
        <v>238</v>
      </c>
      <c r="H67" s="89">
        <v>398918649.97000003</v>
      </c>
      <c r="I67" s="89">
        <v>491814140.70999998</v>
      </c>
      <c r="J67" s="89">
        <v>491814140.70999998</v>
      </c>
      <c r="K67" s="90">
        <f t="shared" si="7"/>
        <v>100</v>
      </c>
      <c r="L67" s="91"/>
    </row>
    <row r="68" spans="1:12" s="83" customFormat="1" ht="78.75" x14ac:dyDescent="0.25">
      <c r="A68" s="92"/>
      <c r="B68" s="93"/>
      <c r="C68" s="86" t="s">
        <v>95</v>
      </c>
      <c r="D68" s="87" t="s">
        <v>96</v>
      </c>
      <c r="E68" s="88" t="s">
        <v>115</v>
      </c>
      <c r="F68" s="88" t="s">
        <v>115</v>
      </c>
      <c r="G68" s="88" t="s">
        <v>115</v>
      </c>
      <c r="H68" s="92"/>
      <c r="I68" s="92"/>
      <c r="J68" s="92"/>
      <c r="K68" s="94" t="e">
        <f t="shared" si="7"/>
        <v>#DIV/0!</v>
      </c>
      <c r="L68" s="91"/>
    </row>
    <row r="69" spans="1:12" s="83" customFormat="1" ht="31.5" x14ac:dyDescent="0.25">
      <c r="A69" s="92"/>
      <c r="B69" s="93"/>
      <c r="C69" s="86" t="s">
        <v>97</v>
      </c>
      <c r="D69" s="87" t="s">
        <v>42</v>
      </c>
      <c r="E69" s="88">
        <v>627</v>
      </c>
      <c r="F69" s="88">
        <v>629</v>
      </c>
      <c r="G69" s="88">
        <v>629</v>
      </c>
      <c r="H69" s="92"/>
      <c r="I69" s="92"/>
      <c r="J69" s="92"/>
      <c r="K69" s="94" t="e">
        <f t="shared" si="7"/>
        <v>#DIV/0!</v>
      </c>
      <c r="L69" s="91"/>
    </row>
    <row r="70" spans="1:12" s="83" customFormat="1" ht="31.5" x14ac:dyDescent="0.25">
      <c r="A70" s="92"/>
      <c r="B70" s="93"/>
      <c r="C70" s="86" t="s">
        <v>98</v>
      </c>
      <c r="D70" s="87" t="s">
        <v>42</v>
      </c>
      <c r="E70" s="88">
        <v>207</v>
      </c>
      <c r="F70" s="88">
        <v>207</v>
      </c>
      <c r="G70" s="88">
        <v>207</v>
      </c>
      <c r="H70" s="92"/>
      <c r="I70" s="92"/>
      <c r="J70" s="92"/>
      <c r="K70" s="94" t="e">
        <f t="shared" si="7"/>
        <v>#DIV/0!</v>
      </c>
      <c r="L70" s="91"/>
    </row>
    <row r="71" spans="1:12" s="83" customFormat="1" ht="31.5" x14ac:dyDescent="0.25">
      <c r="A71" s="92"/>
      <c r="B71" s="93"/>
      <c r="C71" s="86" t="s">
        <v>99</v>
      </c>
      <c r="D71" s="87" t="s">
        <v>42</v>
      </c>
      <c r="E71" s="88">
        <v>8545</v>
      </c>
      <c r="F71" s="88">
        <v>8545</v>
      </c>
      <c r="G71" s="88">
        <v>8545</v>
      </c>
      <c r="H71" s="92"/>
      <c r="I71" s="92"/>
      <c r="J71" s="92"/>
      <c r="K71" s="94" t="e">
        <f t="shared" si="7"/>
        <v>#DIV/0!</v>
      </c>
      <c r="L71" s="91"/>
    </row>
    <row r="72" spans="1:12" s="83" customFormat="1" ht="31.5" x14ac:dyDescent="0.25">
      <c r="A72" s="95"/>
      <c r="B72" s="96"/>
      <c r="C72" s="86" t="s">
        <v>100</v>
      </c>
      <c r="D72" s="87" t="s">
        <v>101</v>
      </c>
      <c r="E72" s="97">
        <v>38000</v>
      </c>
      <c r="F72" s="88">
        <v>38000</v>
      </c>
      <c r="G72" s="88">
        <v>38000</v>
      </c>
      <c r="H72" s="95"/>
      <c r="I72" s="95"/>
      <c r="J72" s="95"/>
      <c r="K72" s="98" t="e">
        <f t="shared" si="7"/>
        <v>#DIV/0!</v>
      </c>
      <c r="L72" s="91"/>
    </row>
    <row r="73" spans="1:12" s="83" customFormat="1" ht="31.5" x14ac:dyDescent="0.25">
      <c r="A73" s="84" t="s">
        <v>86</v>
      </c>
      <c r="B73" s="85" t="s">
        <v>102</v>
      </c>
      <c r="C73" s="86" t="s">
        <v>103</v>
      </c>
      <c r="D73" s="87" t="s">
        <v>104</v>
      </c>
      <c r="E73" s="99">
        <v>544.26499999999999</v>
      </c>
      <c r="F73" s="100" t="s">
        <v>239</v>
      </c>
      <c r="G73" s="100" t="s">
        <v>239</v>
      </c>
      <c r="H73" s="89">
        <v>34762142</v>
      </c>
      <c r="I73" s="89">
        <v>31354968</v>
      </c>
      <c r="J73" s="89">
        <v>31354968</v>
      </c>
      <c r="K73" s="101">
        <f>J73/I73*100</f>
        <v>100</v>
      </c>
      <c r="L73" s="91"/>
    </row>
    <row r="74" spans="1:12" s="83" customFormat="1" ht="31.5" x14ac:dyDescent="0.25">
      <c r="A74" s="102"/>
      <c r="B74" s="103"/>
      <c r="C74" s="86" t="s">
        <v>105</v>
      </c>
      <c r="D74" s="87" t="s">
        <v>42</v>
      </c>
      <c r="E74" s="97" t="s">
        <v>106</v>
      </c>
      <c r="F74" s="100" t="s">
        <v>240</v>
      </c>
      <c r="G74" s="100" t="s">
        <v>240</v>
      </c>
      <c r="H74" s="92"/>
      <c r="I74" s="92"/>
      <c r="J74" s="92"/>
      <c r="K74" s="94"/>
      <c r="L74" s="91"/>
    </row>
    <row r="75" spans="1:12" s="83" customFormat="1" x14ac:dyDescent="0.25">
      <c r="A75" s="95"/>
      <c r="B75" s="96"/>
      <c r="C75" s="86" t="s">
        <v>107</v>
      </c>
      <c r="D75" s="87" t="s">
        <v>42</v>
      </c>
      <c r="E75" s="97">
        <v>15694</v>
      </c>
      <c r="F75" s="88">
        <v>22764</v>
      </c>
      <c r="G75" s="88">
        <v>22764</v>
      </c>
      <c r="H75" s="95"/>
      <c r="I75" s="95"/>
      <c r="J75" s="95"/>
      <c r="K75" s="98"/>
      <c r="L75" s="91"/>
    </row>
    <row r="76" spans="1:12" s="83" customFormat="1" ht="30.75" customHeight="1" x14ac:dyDescent="0.25">
      <c r="A76" s="104" t="s">
        <v>86</v>
      </c>
      <c r="B76" s="105" t="s">
        <v>108</v>
      </c>
      <c r="C76" s="86" t="s">
        <v>109</v>
      </c>
      <c r="D76" s="87" t="s">
        <v>110</v>
      </c>
      <c r="E76" s="100" t="s">
        <v>116</v>
      </c>
      <c r="F76" s="100" t="s">
        <v>116</v>
      </c>
      <c r="G76" s="100" t="s">
        <v>116</v>
      </c>
      <c r="H76" s="106">
        <v>6439707</v>
      </c>
      <c r="I76" s="106">
        <v>6439707</v>
      </c>
      <c r="J76" s="106">
        <v>6439707</v>
      </c>
      <c r="K76" s="107">
        <f t="shared" si="7"/>
        <v>100</v>
      </c>
      <c r="L76" s="91"/>
    </row>
    <row r="77" spans="1:12" s="83" customFormat="1" ht="40.5" customHeight="1" x14ac:dyDescent="0.25">
      <c r="A77" s="100" t="s">
        <v>86</v>
      </c>
      <c r="B77" s="108" t="s">
        <v>111</v>
      </c>
      <c r="C77" s="86" t="s">
        <v>112</v>
      </c>
      <c r="D77" s="87" t="s">
        <v>110</v>
      </c>
      <c r="E77" s="88">
        <v>730653</v>
      </c>
      <c r="F77" s="88">
        <v>730983</v>
      </c>
      <c r="G77" s="88">
        <v>730983</v>
      </c>
      <c r="H77" s="97">
        <v>11726832</v>
      </c>
      <c r="I77" s="97">
        <v>11726832</v>
      </c>
      <c r="J77" s="97">
        <v>11726832</v>
      </c>
      <c r="K77" s="109">
        <f t="shared" si="7"/>
        <v>100</v>
      </c>
      <c r="L77" s="91"/>
    </row>
    <row r="78" spans="1:12" ht="31.5" x14ac:dyDescent="0.25">
      <c r="A78" s="63" t="s">
        <v>10</v>
      </c>
      <c r="B78" s="64" t="s">
        <v>11</v>
      </c>
      <c r="C78" s="64"/>
      <c r="D78" s="64"/>
      <c r="E78" s="65"/>
      <c r="F78" s="64"/>
      <c r="G78" s="64"/>
      <c r="H78" s="66">
        <f>SUM(H79:H80)</f>
        <v>3282201.27</v>
      </c>
      <c r="I78" s="66">
        <f t="shared" ref="I78:J78" si="8">SUM(I79:I80)</f>
        <v>3282201.2699999996</v>
      </c>
      <c r="J78" s="66">
        <f t="shared" si="8"/>
        <v>3282201.2699999996</v>
      </c>
      <c r="K78" s="67">
        <f t="shared" si="7"/>
        <v>100</v>
      </c>
    </row>
    <row r="79" spans="1:12" ht="94.5" x14ac:dyDescent="0.25">
      <c r="A79" s="2" t="s">
        <v>10</v>
      </c>
      <c r="B79" s="9" t="s">
        <v>120</v>
      </c>
      <c r="C79" s="6" t="s">
        <v>121</v>
      </c>
      <c r="D79" s="12" t="s">
        <v>42</v>
      </c>
      <c r="E79" s="4">
        <v>150</v>
      </c>
      <c r="F79" s="4">
        <v>150</v>
      </c>
      <c r="G79" s="4">
        <v>161</v>
      </c>
      <c r="H79" s="10">
        <v>2651670.59</v>
      </c>
      <c r="I79" s="10">
        <v>2631051.5099999998</v>
      </c>
      <c r="J79" s="10">
        <v>2631051.5099999998</v>
      </c>
      <c r="K79" s="22">
        <f>J79/I79*100</f>
        <v>100</v>
      </c>
    </row>
    <row r="80" spans="1:12" ht="63" x14ac:dyDescent="0.25">
      <c r="A80" s="2" t="s">
        <v>10</v>
      </c>
      <c r="B80" s="9" t="s">
        <v>122</v>
      </c>
      <c r="C80" s="6" t="s">
        <v>121</v>
      </c>
      <c r="D80" s="12" t="s">
        <v>123</v>
      </c>
      <c r="E80" s="4">
        <v>150</v>
      </c>
      <c r="F80" s="4">
        <v>150</v>
      </c>
      <c r="G80" s="4">
        <v>150</v>
      </c>
      <c r="H80" s="10">
        <v>630530.68000000005</v>
      </c>
      <c r="I80" s="10">
        <v>651149.76</v>
      </c>
      <c r="J80" s="10">
        <v>651149.76</v>
      </c>
      <c r="K80" s="22">
        <f>J80/I80*100</f>
        <v>100</v>
      </c>
    </row>
    <row r="81" spans="1:12" ht="31.5" x14ac:dyDescent="0.25">
      <c r="A81" s="63" t="s">
        <v>35</v>
      </c>
      <c r="B81" s="64" t="s">
        <v>36</v>
      </c>
      <c r="C81" s="64"/>
      <c r="D81" s="64"/>
      <c r="E81" s="65"/>
      <c r="F81" s="64"/>
      <c r="G81" s="64"/>
      <c r="H81" s="66">
        <f>H82+H131+H174+H178+H179</f>
        <v>309699054.20999998</v>
      </c>
      <c r="I81" s="66">
        <f t="shared" ref="I81:J81" si="9">I82+I131+I174+I178+I179</f>
        <v>316579627.98000002</v>
      </c>
      <c r="J81" s="66">
        <f t="shared" si="9"/>
        <v>316560151.34999996</v>
      </c>
      <c r="K81" s="67">
        <f t="shared" si="7"/>
        <v>99.993847794273961</v>
      </c>
      <c r="L81" s="82"/>
    </row>
    <row r="82" spans="1:12" ht="31.5" customHeight="1" x14ac:dyDescent="0.25">
      <c r="A82" s="34" t="s">
        <v>35</v>
      </c>
      <c r="B82" s="35" t="s">
        <v>37</v>
      </c>
      <c r="C82" s="54" t="s">
        <v>224</v>
      </c>
      <c r="D82" s="37" t="s">
        <v>7</v>
      </c>
      <c r="E82" s="39">
        <v>4036</v>
      </c>
      <c r="F82" s="39">
        <v>3975</v>
      </c>
      <c r="G82" s="39">
        <v>3975</v>
      </c>
      <c r="H82" s="39">
        <v>163704968.16999996</v>
      </c>
      <c r="I82" s="39">
        <v>171825240.85000002</v>
      </c>
      <c r="J82" s="39">
        <v>171805761.22</v>
      </c>
      <c r="K82" s="40">
        <f>J82/I82*100</f>
        <v>99.988663114974457</v>
      </c>
      <c r="L82" s="82"/>
    </row>
    <row r="83" spans="1:12" ht="39.75" customHeight="1" x14ac:dyDescent="0.25">
      <c r="A83" s="2" t="s">
        <v>211</v>
      </c>
      <c r="B83" s="9" t="s">
        <v>124</v>
      </c>
      <c r="C83" s="6" t="s">
        <v>224</v>
      </c>
      <c r="D83" s="25" t="s">
        <v>7</v>
      </c>
      <c r="E83" s="10">
        <v>205</v>
      </c>
      <c r="F83" s="12">
        <v>205</v>
      </c>
      <c r="G83" s="12">
        <v>205</v>
      </c>
      <c r="H83" s="28">
        <v>6324240.0599999996</v>
      </c>
      <c r="I83" s="28">
        <v>6023612.5800000001</v>
      </c>
      <c r="J83" s="28">
        <v>6023612.5800000001</v>
      </c>
      <c r="K83" s="48">
        <f>J83/I83*100</f>
        <v>100</v>
      </c>
      <c r="L83" s="82"/>
    </row>
    <row r="84" spans="1:12" ht="28.5" customHeight="1" x14ac:dyDescent="0.25">
      <c r="A84" s="2"/>
      <c r="B84" s="9" t="s">
        <v>125</v>
      </c>
      <c r="C84" s="6" t="s">
        <v>224</v>
      </c>
      <c r="D84" s="25" t="s">
        <v>7</v>
      </c>
      <c r="E84" s="10">
        <v>187</v>
      </c>
      <c r="F84" s="12">
        <v>187</v>
      </c>
      <c r="G84" s="12">
        <v>187</v>
      </c>
      <c r="H84" s="28">
        <v>8637963.5199999996</v>
      </c>
      <c r="I84" s="28">
        <v>8036524.3600000003</v>
      </c>
      <c r="J84" s="28">
        <v>8036524.3600000003</v>
      </c>
      <c r="K84" s="48">
        <f t="shared" ref="K84:K147" si="10">J84/I84*100</f>
        <v>100</v>
      </c>
      <c r="L84" s="82"/>
    </row>
    <row r="85" spans="1:12" ht="28.5" customHeight="1" x14ac:dyDescent="0.25">
      <c r="A85" s="2"/>
      <c r="B85" s="9" t="s">
        <v>126</v>
      </c>
      <c r="C85" s="6" t="s">
        <v>224</v>
      </c>
      <c r="D85" s="25" t="s">
        <v>7</v>
      </c>
      <c r="E85" s="10">
        <v>46</v>
      </c>
      <c r="F85" s="12">
        <v>46</v>
      </c>
      <c r="G85" s="12">
        <v>46</v>
      </c>
      <c r="H85" s="28">
        <v>3238336.6999999997</v>
      </c>
      <c r="I85" s="28">
        <v>3224369.03</v>
      </c>
      <c r="J85" s="28">
        <v>3224369.03</v>
      </c>
      <c r="K85" s="48">
        <f t="shared" si="10"/>
        <v>100</v>
      </c>
      <c r="L85" s="82"/>
    </row>
    <row r="86" spans="1:12" ht="31.5" x14ac:dyDescent="0.25">
      <c r="A86" s="2"/>
      <c r="B86" s="9" t="s">
        <v>127</v>
      </c>
      <c r="C86" s="6" t="s">
        <v>224</v>
      </c>
      <c r="D86" s="25" t="s">
        <v>7</v>
      </c>
      <c r="E86" s="10">
        <v>2</v>
      </c>
      <c r="F86" s="12">
        <v>2</v>
      </c>
      <c r="G86" s="12">
        <v>2</v>
      </c>
      <c r="H86" s="49">
        <v>710164.78</v>
      </c>
      <c r="I86" s="49">
        <v>709365.41</v>
      </c>
      <c r="J86" s="49">
        <v>709365.41</v>
      </c>
      <c r="K86" s="48">
        <f t="shared" si="10"/>
        <v>100</v>
      </c>
      <c r="L86" s="82"/>
    </row>
    <row r="87" spans="1:12" ht="31.5" x14ac:dyDescent="0.25">
      <c r="A87" s="2"/>
      <c r="B87" s="50" t="s">
        <v>128</v>
      </c>
      <c r="C87" s="6" t="s">
        <v>224</v>
      </c>
      <c r="D87" s="25" t="s">
        <v>7</v>
      </c>
      <c r="E87" s="10">
        <v>147</v>
      </c>
      <c r="F87" s="12">
        <v>147</v>
      </c>
      <c r="G87" s="12">
        <v>147</v>
      </c>
      <c r="H87" s="49">
        <v>4720874.8899999997</v>
      </c>
      <c r="I87" s="49">
        <v>4659712.45</v>
      </c>
      <c r="J87" s="49">
        <v>4659712.45</v>
      </c>
      <c r="K87" s="48">
        <f t="shared" si="10"/>
        <v>100</v>
      </c>
      <c r="L87" s="82"/>
    </row>
    <row r="88" spans="1:12" ht="31.5" x14ac:dyDescent="0.25">
      <c r="A88" s="2"/>
      <c r="B88" s="50" t="s">
        <v>129</v>
      </c>
      <c r="C88" s="6" t="s">
        <v>224</v>
      </c>
      <c r="D88" s="25" t="s">
        <v>7</v>
      </c>
      <c r="E88" s="10">
        <v>77</v>
      </c>
      <c r="F88" s="12">
        <v>77</v>
      </c>
      <c r="G88" s="12">
        <v>77</v>
      </c>
      <c r="H88" s="28">
        <v>2973031.79</v>
      </c>
      <c r="I88" s="28">
        <v>2963125.36</v>
      </c>
      <c r="J88" s="28">
        <v>2963125.36</v>
      </c>
      <c r="K88" s="48">
        <f t="shared" si="10"/>
        <v>100</v>
      </c>
      <c r="L88" s="82"/>
    </row>
    <row r="89" spans="1:12" ht="31.5" x14ac:dyDescent="0.25">
      <c r="A89" s="2"/>
      <c r="B89" s="50" t="s">
        <v>130</v>
      </c>
      <c r="C89" s="6" t="s">
        <v>224</v>
      </c>
      <c r="D89" s="25" t="s">
        <v>7</v>
      </c>
      <c r="E89" s="10">
        <v>29</v>
      </c>
      <c r="F89" s="12">
        <v>28</v>
      </c>
      <c r="G89" s="12">
        <v>28</v>
      </c>
      <c r="H89" s="28">
        <v>1581002.24</v>
      </c>
      <c r="I89" s="28">
        <v>1526965.02</v>
      </c>
      <c r="J89" s="28">
        <v>1526965.02</v>
      </c>
      <c r="K89" s="48">
        <f t="shared" si="10"/>
        <v>100</v>
      </c>
      <c r="L89" s="82"/>
    </row>
    <row r="90" spans="1:12" ht="31.5" x14ac:dyDescent="0.25">
      <c r="A90" s="2"/>
      <c r="B90" s="9" t="s">
        <v>131</v>
      </c>
      <c r="C90" s="6" t="s">
        <v>224</v>
      </c>
      <c r="D90" s="25" t="s">
        <v>7</v>
      </c>
      <c r="E90" s="10">
        <v>152</v>
      </c>
      <c r="F90" s="12">
        <v>142</v>
      </c>
      <c r="G90" s="12">
        <v>142</v>
      </c>
      <c r="H90" s="28">
        <v>4112765.24</v>
      </c>
      <c r="I90" s="28">
        <v>4110365.36</v>
      </c>
      <c r="J90" s="28">
        <v>4110365.36</v>
      </c>
      <c r="K90" s="48">
        <f t="shared" si="10"/>
        <v>100</v>
      </c>
      <c r="L90" s="82"/>
    </row>
    <row r="91" spans="1:12" ht="31.5" x14ac:dyDescent="0.25">
      <c r="A91" s="2"/>
      <c r="B91" s="9" t="s">
        <v>132</v>
      </c>
      <c r="C91" s="6" t="s">
        <v>224</v>
      </c>
      <c r="D91" s="25" t="s">
        <v>7</v>
      </c>
      <c r="E91" s="10">
        <v>129</v>
      </c>
      <c r="F91" s="12">
        <v>123</v>
      </c>
      <c r="G91" s="12">
        <v>123</v>
      </c>
      <c r="H91" s="28">
        <v>6014595.3600000003</v>
      </c>
      <c r="I91" s="28">
        <v>6000364.6100000003</v>
      </c>
      <c r="J91" s="28">
        <v>6000364.6100000003</v>
      </c>
      <c r="K91" s="48">
        <f t="shared" si="10"/>
        <v>100</v>
      </c>
      <c r="L91" s="82"/>
    </row>
    <row r="92" spans="1:12" ht="31.5" x14ac:dyDescent="0.25">
      <c r="A92" s="2"/>
      <c r="B92" s="9" t="s">
        <v>133</v>
      </c>
      <c r="C92" s="6" t="s">
        <v>224</v>
      </c>
      <c r="D92" s="25" t="s">
        <v>7</v>
      </c>
      <c r="E92" s="10">
        <v>29</v>
      </c>
      <c r="F92" s="12">
        <v>28</v>
      </c>
      <c r="G92" s="12">
        <v>28</v>
      </c>
      <c r="H92" s="28">
        <v>2364680.17</v>
      </c>
      <c r="I92" s="28">
        <v>2236725.0299999998</v>
      </c>
      <c r="J92" s="28">
        <v>2236725.0299999998</v>
      </c>
      <c r="K92" s="48">
        <f t="shared" si="10"/>
        <v>100</v>
      </c>
      <c r="L92" s="82"/>
    </row>
    <row r="93" spans="1:12" ht="31.5" x14ac:dyDescent="0.25">
      <c r="A93" s="2"/>
      <c r="B93" s="9" t="s">
        <v>134</v>
      </c>
      <c r="C93" s="6" t="s">
        <v>224</v>
      </c>
      <c r="D93" s="25" t="s">
        <v>7</v>
      </c>
      <c r="E93" s="10">
        <v>13</v>
      </c>
      <c r="F93" s="12">
        <v>13</v>
      </c>
      <c r="G93" s="12">
        <v>13</v>
      </c>
      <c r="H93" s="28">
        <v>2968790.7</v>
      </c>
      <c r="I93" s="28">
        <v>2952615.74</v>
      </c>
      <c r="J93" s="28">
        <v>2952615.74</v>
      </c>
      <c r="K93" s="48">
        <f t="shared" si="10"/>
        <v>100</v>
      </c>
      <c r="L93" s="82"/>
    </row>
    <row r="94" spans="1:12" ht="31.5" x14ac:dyDescent="0.25">
      <c r="A94" s="2"/>
      <c r="B94" s="9" t="s">
        <v>135</v>
      </c>
      <c r="C94" s="6" t="s">
        <v>224</v>
      </c>
      <c r="D94" s="25" t="s">
        <v>7</v>
      </c>
      <c r="E94" s="10">
        <v>96</v>
      </c>
      <c r="F94" s="12">
        <v>95</v>
      </c>
      <c r="G94" s="12">
        <v>95</v>
      </c>
      <c r="H94" s="28">
        <v>2814708.48</v>
      </c>
      <c r="I94" s="28">
        <v>3811516.91</v>
      </c>
      <c r="J94" s="28">
        <v>3811516.91</v>
      </c>
      <c r="K94" s="48">
        <f t="shared" si="10"/>
        <v>100</v>
      </c>
      <c r="L94" s="82"/>
    </row>
    <row r="95" spans="1:12" ht="31.5" x14ac:dyDescent="0.25">
      <c r="A95" s="2"/>
      <c r="B95" s="9" t="s">
        <v>136</v>
      </c>
      <c r="C95" s="6" t="s">
        <v>224</v>
      </c>
      <c r="D95" s="25" t="s">
        <v>7</v>
      </c>
      <c r="E95" s="10">
        <v>85</v>
      </c>
      <c r="F95" s="12">
        <v>87</v>
      </c>
      <c r="G95" s="12">
        <v>87</v>
      </c>
      <c r="H95" s="28">
        <v>5188041.3</v>
      </c>
      <c r="I95" s="28">
        <v>5036789.75</v>
      </c>
      <c r="J95" s="28">
        <v>5036789.75</v>
      </c>
      <c r="K95" s="48">
        <f t="shared" si="10"/>
        <v>100</v>
      </c>
      <c r="L95" s="82"/>
    </row>
    <row r="96" spans="1:12" ht="31.5" x14ac:dyDescent="0.25">
      <c r="A96" s="2"/>
      <c r="B96" s="9" t="s">
        <v>137</v>
      </c>
      <c r="C96" s="6" t="s">
        <v>224</v>
      </c>
      <c r="D96" s="25" t="s">
        <v>7</v>
      </c>
      <c r="E96" s="10">
        <v>13</v>
      </c>
      <c r="F96" s="12">
        <v>13</v>
      </c>
      <c r="G96" s="12">
        <v>13</v>
      </c>
      <c r="H96" s="28">
        <v>1848194.92</v>
      </c>
      <c r="I96" s="28">
        <v>1832458.3</v>
      </c>
      <c r="J96" s="28">
        <v>1832458.3</v>
      </c>
      <c r="K96" s="48">
        <f t="shared" si="10"/>
        <v>100</v>
      </c>
      <c r="L96" s="82"/>
    </row>
    <row r="97" spans="1:12" ht="31.5" x14ac:dyDescent="0.25">
      <c r="A97" s="2"/>
      <c r="B97" s="9" t="s">
        <v>138</v>
      </c>
      <c r="C97" s="6" t="s">
        <v>224</v>
      </c>
      <c r="D97" s="25" t="s">
        <v>7</v>
      </c>
      <c r="E97" s="10">
        <v>267</v>
      </c>
      <c r="F97" s="12">
        <v>282</v>
      </c>
      <c r="G97" s="12">
        <v>282</v>
      </c>
      <c r="H97" s="28">
        <v>5503873.9199999999</v>
      </c>
      <c r="I97" s="28">
        <v>5426965.0300000003</v>
      </c>
      <c r="J97" s="28">
        <v>5426965.0300000003</v>
      </c>
      <c r="K97" s="48">
        <f t="shared" si="10"/>
        <v>100</v>
      </c>
      <c r="L97" s="82"/>
    </row>
    <row r="98" spans="1:12" ht="31.5" x14ac:dyDescent="0.25">
      <c r="A98" s="2"/>
      <c r="B98" s="9" t="s">
        <v>139</v>
      </c>
      <c r="C98" s="6" t="s">
        <v>224</v>
      </c>
      <c r="D98" s="25" t="s">
        <v>7</v>
      </c>
      <c r="E98" s="10">
        <v>281</v>
      </c>
      <c r="F98" s="12">
        <v>281</v>
      </c>
      <c r="G98" s="12">
        <v>281</v>
      </c>
      <c r="H98" s="28">
        <v>21927669.210000001</v>
      </c>
      <c r="I98" s="28">
        <v>21865124.41</v>
      </c>
      <c r="J98" s="28">
        <v>21865124.41</v>
      </c>
      <c r="K98" s="48">
        <f t="shared" si="10"/>
        <v>100</v>
      </c>
      <c r="L98" s="82"/>
    </row>
    <row r="99" spans="1:12" ht="31.5" x14ac:dyDescent="0.25">
      <c r="A99" s="2"/>
      <c r="B99" s="9" t="s">
        <v>140</v>
      </c>
      <c r="C99" s="6" t="s">
        <v>224</v>
      </c>
      <c r="D99" s="25" t="s">
        <v>7</v>
      </c>
      <c r="E99" s="10">
        <v>24</v>
      </c>
      <c r="F99" s="12">
        <v>28</v>
      </c>
      <c r="G99" s="12">
        <v>28</v>
      </c>
      <c r="H99" s="28">
        <v>8331603.5999999996</v>
      </c>
      <c r="I99" s="28">
        <v>8236914.5800000001</v>
      </c>
      <c r="J99" s="28">
        <v>8236914.5800000001</v>
      </c>
      <c r="K99" s="48">
        <f t="shared" si="10"/>
        <v>100</v>
      </c>
      <c r="L99" s="82"/>
    </row>
    <row r="100" spans="1:12" ht="31.5" x14ac:dyDescent="0.25">
      <c r="A100" s="2"/>
      <c r="B100" s="9" t="s">
        <v>141</v>
      </c>
      <c r="C100" s="6" t="s">
        <v>224</v>
      </c>
      <c r="D100" s="25" t="s">
        <v>7</v>
      </c>
      <c r="E100" s="10">
        <v>3</v>
      </c>
      <c r="F100" s="12">
        <v>0</v>
      </c>
      <c r="G100" s="12">
        <v>0</v>
      </c>
      <c r="H100" s="28">
        <v>1439617.35</v>
      </c>
      <c r="I100" s="28">
        <v>0</v>
      </c>
      <c r="J100" s="28">
        <v>0</v>
      </c>
      <c r="K100" s="11" t="s">
        <v>232</v>
      </c>
      <c r="L100" s="82"/>
    </row>
    <row r="101" spans="1:12" ht="31.5" x14ac:dyDescent="0.25">
      <c r="A101" s="2"/>
      <c r="B101" s="9" t="s">
        <v>142</v>
      </c>
      <c r="C101" s="6" t="s">
        <v>224</v>
      </c>
      <c r="D101" s="25" t="s">
        <v>7</v>
      </c>
      <c r="E101" s="10">
        <v>188</v>
      </c>
      <c r="F101" s="12">
        <v>211</v>
      </c>
      <c r="G101" s="12">
        <v>211</v>
      </c>
      <c r="H101" s="28">
        <v>3059572.39</v>
      </c>
      <c r="I101" s="28">
        <v>2936841.67</v>
      </c>
      <c r="J101" s="28">
        <v>2936841.67</v>
      </c>
      <c r="K101" s="48">
        <f t="shared" si="10"/>
        <v>100</v>
      </c>
      <c r="L101" s="82"/>
    </row>
    <row r="102" spans="1:12" ht="31.5" x14ac:dyDescent="0.25">
      <c r="A102" s="2"/>
      <c r="B102" s="9" t="s">
        <v>143</v>
      </c>
      <c r="C102" s="6" t="s">
        <v>224</v>
      </c>
      <c r="D102" s="25" t="s">
        <v>7</v>
      </c>
      <c r="E102" s="10">
        <v>179</v>
      </c>
      <c r="F102" s="12">
        <v>134</v>
      </c>
      <c r="G102" s="12">
        <v>134</v>
      </c>
      <c r="H102" s="28">
        <v>6833709.54</v>
      </c>
      <c r="I102" s="28">
        <v>6725412.2300000004</v>
      </c>
      <c r="J102" s="28">
        <v>6705931.5999999996</v>
      </c>
      <c r="K102" s="48">
        <f t="shared" si="10"/>
        <v>99.710342959899108</v>
      </c>
      <c r="L102" s="82"/>
    </row>
    <row r="103" spans="1:12" ht="31.5" x14ac:dyDescent="0.25">
      <c r="A103" s="2"/>
      <c r="B103" s="9" t="s">
        <v>144</v>
      </c>
      <c r="C103" s="6" t="s">
        <v>224</v>
      </c>
      <c r="D103" s="25" t="s">
        <v>7</v>
      </c>
      <c r="E103" s="10">
        <v>16</v>
      </c>
      <c r="F103" s="12">
        <v>16</v>
      </c>
      <c r="G103" s="12">
        <v>16</v>
      </c>
      <c r="H103" s="28">
        <v>1438788</v>
      </c>
      <c r="I103" s="28">
        <v>14273658.109999999</v>
      </c>
      <c r="J103" s="28">
        <v>14273658.109999999</v>
      </c>
      <c r="K103" s="48">
        <f t="shared" si="10"/>
        <v>100</v>
      </c>
      <c r="L103" s="82"/>
    </row>
    <row r="104" spans="1:12" ht="31.5" x14ac:dyDescent="0.25">
      <c r="A104" s="2"/>
      <c r="B104" s="9" t="s">
        <v>145</v>
      </c>
      <c r="C104" s="6" t="s">
        <v>224</v>
      </c>
      <c r="D104" s="25" t="s">
        <v>7</v>
      </c>
      <c r="E104" s="10">
        <v>31</v>
      </c>
      <c r="F104" s="12">
        <v>31</v>
      </c>
      <c r="G104" s="12">
        <v>31</v>
      </c>
      <c r="H104" s="28">
        <v>51902.14</v>
      </c>
      <c r="I104" s="28">
        <v>51902.14</v>
      </c>
      <c r="J104" s="28">
        <v>51902.14</v>
      </c>
      <c r="K104" s="48">
        <f t="shared" si="10"/>
        <v>100</v>
      </c>
      <c r="L104" s="82"/>
    </row>
    <row r="105" spans="1:12" ht="31.5" x14ac:dyDescent="0.25">
      <c r="A105" s="2"/>
      <c r="B105" s="9" t="s">
        <v>146</v>
      </c>
      <c r="C105" s="6" t="s">
        <v>224</v>
      </c>
      <c r="D105" s="25" t="s">
        <v>7</v>
      </c>
      <c r="E105" s="10">
        <v>107</v>
      </c>
      <c r="F105" s="12">
        <v>107</v>
      </c>
      <c r="G105" s="12">
        <v>107</v>
      </c>
      <c r="H105" s="28">
        <v>5193028.8600000003</v>
      </c>
      <c r="I105" s="28">
        <v>4815369.5999999996</v>
      </c>
      <c r="J105" s="28">
        <v>4815369.5999999996</v>
      </c>
      <c r="K105" s="48">
        <f t="shared" si="10"/>
        <v>100</v>
      </c>
      <c r="L105" s="82"/>
    </row>
    <row r="106" spans="1:12" ht="31.5" x14ac:dyDescent="0.25">
      <c r="A106" s="2"/>
      <c r="B106" s="9" t="s">
        <v>147</v>
      </c>
      <c r="C106" s="6" t="s">
        <v>224</v>
      </c>
      <c r="D106" s="25" t="s">
        <v>7</v>
      </c>
      <c r="E106" s="10">
        <v>308</v>
      </c>
      <c r="F106" s="12">
        <v>280</v>
      </c>
      <c r="G106" s="12">
        <v>280</v>
      </c>
      <c r="H106" s="28">
        <v>7919959.7400000002</v>
      </c>
      <c r="I106" s="28">
        <v>7416066.0300000003</v>
      </c>
      <c r="J106" s="28">
        <v>7416066.0300000003</v>
      </c>
      <c r="K106" s="48">
        <f t="shared" si="10"/>
        <v>100</v>
      </c>
      <c r="L106" s="82"/>
    </row>
    <row r="107" spans="1:12" ht="31.5" x14ac:dyDescent="0.25">
      <c r="A107" s="2"/>
      <c r="B107" s="9" t="s">
        <v>148</v>
      </c>
      <c r="C107" s="6" t="s">
        <v>224</v>
      </c>
      <c r="D107" s="25" t="s">
        <v>7</v>
      </c>
      <c r="E107" s="10">
        <v>366</v>
      </c>
      <c r="F107" s="12">
        <v>352</v>
      </c>
      <c r="G107" s="12">
        <v>352</v>
      </c>
      <c r="H107" s="28">
        <v>14674925.380000001</v>
      </c>
      <c r="I107" s="28">
        <v>14531785.57</v>
      </c>
      <c r="J107" s="28">
        <v>14531785.57</v>
      </c>
      <c r="K107" s="48">
        <f t="shared" si="10"/>
        <v>100</v>
      </c>
      <c r="L107" s="82"/>
    </row>
    <row r="108" spans="1:12" ht="31.5" x14ac:dyDescent="0.25">
      <c r="A108" s="2"/>
      <c r="B108" s="9" t="s">
        <v>225</v>
      </c>
      <c r="C108" s="6" t="s">
        <v>224</v>
      </c>
      <c r="D108" s="25" t="s">
        <v>7</v>
      </c>
      <c r="E108" s="10">
        <v>6</v>
      </c>
      <c r="F108" s="12">
        <v>6</v>
      </c>
      <c r="G108" s="12">
        <v>6</v>
      </c>
      <c r="H108" s="28">
        <v>422737.91999999998</v>
      </c>
      <c r="I108" s="28">
        <v>422737.91999999998</v>
      </c>
      <c r="J108" s="28">
        <v>422737.91999999998</v>
      </c>
      <c r="K108" s="48">
        <f t="shared" si="10"/>
        <v>100</v>
      </c>
      <c r="L108" s="82"/>
    </row>
    <row r="109" spans="1:12" ht="31.5" x14ac:dyDescent="0.25">
      <c r="A109" s="2"/>
      <c r="B109" s="9" t="s">
        <v>149</v>
      </c>
      <c r="C109" s="6" t="s">
        <v>224</v>
      </c>
      <c r="D109" s="25" t="s">
        <v>7</v>
      </c>
      <c r="E109" s="10">
        <v>100</v>
      </c>
      <c r="F109" s="12">
        <v>100</v>
      </c>
      <c r="G109" s="12">
        <v>100</v>
      </c>
      <c r="H109" s="28">
        <v>2275059</v>
      </c>
      <c r="I109" s="28">
        <v>2263125.02</v>
      </c>
      <c r="J109" s="28">
        <v>2263125.02</v>
      </c>
      <c r="K109" s="48">
        <f t="shared" si="10"/>
        <v>100</v>
      </c>
      <c r="L109" s="82"/>
    </row>
    <row r="110" spans="1:12" ht="31.5" x14ac:dyDescent="0.25">
      <c r="A110" s="2"/>
      <c r="B110" s="9" t="s">
        <v>150</v>
      </c>
      <c r="C110" s="6" t="s">
        <v>224</v>
      </c>
      <c r="D110" s="25" t="s">
        <v>7</v>
      </c>
      <c r="E110" s="10">
        <v>88</v>
      </c>
      <c r="F110" s="12">
        <v>88</v>
      </c>
      <c r="G110" s="12">
        <v>88</v>
      </c>
      <c r="H110" s="28">
        <v>2806538.2400000002</v>
      </c>
      <c r="I110" s="28">
        <v>2542500.8199999998</v>
      </c>
      <c r="J110" s="28">
        <v>2542500.8199999998</v>
      </c>
      <c r="K110" s="48">
        <f t="shared" si="10"/>
        <v>100</v>
      </c>
      <c r="L110" s="82"/>
    </row>
    <row r="111" spans="1:12" ht="31.5" x14ac:dyDescent="0.25">
      <c r="A111" s="2"/>
      <c r="B111" s="9" t="s">
        <v>151</v>
      </c>
      <c r="C111" s="6" t="s">
        <v>224</v>
      </c>
      <c r="D111" s="25" t="s">
        <v>7</v>
      </c>
      <c r="E111" s="10">
        <v>6</v>
      </c>
      <c r="F111" s="12">
        <v>6</v>
      </c>
      <c r="G111" s="12">
        <v>6</v>
      </c>
      <c r="H111" s="28">
        <v>397049.94</v>
      </c>
      <c r="I111" s="28">
        <v>358369.22</v>
      </c>
      <c r="J111" s="28">
        <v>358369.22</v>
      </c>
      <c r="K111" s="48">
        <f t="shared" si="10"/>
        <v>100</v>
      </c>
      <c r="L111" s="82"/>
    </row>
    <row r="112" spans="1:12" ht="31.5" x14ac:dyDescent="0.25">
      <c r="A112" s="2"/>
      <c r="B112" s="9" t="s">
        <v>152</v>
      </c>
      <c r="C112" s="6" t="s">
        <v>224</v>
      </c>
      <c r="D112" s="25" t="s">
        <v>7</v>
      </c>
      <c r="E112" s="10">
        <v>174</v>
      </c>
      <c r="F112" s="12">
        <v>174</v>
      </c>
      <c r="G112" s="12">
        <v>174</v>
      </c>
      <c r="H112" s="28">
        <v>4205624.29</v>
      </c>
      <c r="I112" s="28">
        <v>3874612.58</v>
      </c>
      <c r="J112" s="28">
        <v>3874612.58</v>
      </c>
      <c r="K112" s="48">
        <f t="shared" si="10"/>
        <v>100</v>
      </c>
      <c r="L112" s="82"/>
    </row>
    <row r="113" spans="1:12" ht="31.5" x14ac:dyDescent="0.25">
      <c r="A113" s="2"/>
      <c r="B113" s="9" t="s">
        <v>153</v>
      </c>
      <c r="C113" s="6" t="s">
        <v>224</v>
      </c>
      <c r="D113" s="25" t="s">
        <v>7</v>
      </c>
      <c r="E113" s="10">
        <v>89</v>
      </c>
      <c r="F113" s="12">
        <v>89</v>
      </c>
      <c r="G113" s="12">
        <v>89</v>
      </c>
      <c r="H113" s="28">
        <v>2681657.41</v>
      </c>
      <c r="I113" s="28">
        <v>2674112.36</v>
      </c>
      <c r="J113" s="28">
        <v>2674112.36</v>
      </c>
      <c r="K113" s="48">
        <f t="shared" si="10"/>
        <v>100</v>
      </c>
      <c r="L113" s="82"/>
    </row>
    <row r="114" spans="1:12" ht="31.5" x14ac:dyDescent="0.25">
      <c r="A114" s="2"/>
      <c r="B114" s="9" t="s">
        <v>154</v>
      </c>
      <c r="C114" s="6" t="s">
        <v>224</v>
      </c>
      <c r="D114" s="25" t="s">
        <v>7</v>
      </c>
      <c r="E114" s="10">
        <v>6</v>
      </c>
      <c r="F114" s="12">
        <v>6</v>
      </c>
      <c r="G114" s="12">
        <v>6</v>
      </c>
      <c r="H114" s="28">
        <v>508343.82</v>
      </c>
      <c r="I114" s="28">
        <v>508343.82</v>
      </c>
      <c r="J114" s="28">
        <v>508343.82</v>
      </c>
      <c r="K114" s="48">
        <f t="shared" si="10"/>
        <v>100</v>
      </c>
      <c r="L114" s="82"/>
    </row>
    <row r="115" spans="1:12" ht="31.5" x14ac:dyDescent="0.25">
      <c r="A115" s="2"/>
      <c r="B115" s="9" t="s">
        <v>155</v>
      </c>
      <c r="C115" s="6" t="s">
        <v>224</v>
      </c>
      <c r="D115" s="25" t="s">
        <v>7</v>
      </c>
      <c r="E115" s="10">
        <v>25</v>
      </c>
      <c r="F115" s="12">
        <v>25</v>
      </c>
      <c r="G115" s="12">
        <v>25</v>
      </c>
      <c r="H115" s="28">
        <v>619428.75</v>
      </c>
      <c r="I115" s="28">
        <v>602535.41</v>
      </c>
      <c r="J115" s="28">
        <v>602535.41</v>
      </c>
      <c r="K115" s="48">
        <f t="shared" si="10"/>
        <v>100</v>
      </c>
      <c r="L115" s="82"/>
    </row>
    <row r="116" spans="1:12" ht="31.5" x14ac:dyDescent="0.25">
      <c r="A116" s="2"/>
      <c r="B116" s="9" t="s">
        <v>156</v>
      </c>
      <c r="C116" s="6" t="s">
        <v>224</v>
      </c>
      <c r="D116" s="25" t="s">
        <v>7</v>
      </c>
      <c r="E116" s="10">
        <v>52</v>
      </c>
      <c r="F116" s="12">
        <v>52</v>
      </c>
      <c r="G116" s="12">
        <v>52</v>
      </c>
      <c r="H116" s="28">
        <v>1787014.84</v>
      </c>
      <c r="I116" s="28">
        <v>1598364.56</v>
      </c>
      <c r="J116" s="28">
        <v>1598364.56</v>
      </c>
      <c r="K116" s="48">
        <f t="shared" si="10"/>
        <v>100</v>
      </c>
      <c r="L116" s="82"/>
    </row>
    <row r="117" spans="1:12" ht="31.5" x14ac:dyDescent="0.25">
      <c r="A117" s="2"/>
      <c r="B117" s="9" t="s">
        <v>157</v>
      </c>
      <c r="C117" s="6" t="s">
        <v>224</v>
      </c>
      <c r="D117" s="25" t="s">
        <v>7</v>
      </c>
      <c r="E117" s="10">
        <v>27</v>
      </c>
      <c r="F117" s="12">
        <v>27</v>
      </c>
      <c r="G117" s="12">
        <v>27</v>
      </c>
      <c r="H117" s="28">
        <v>597912.03</v>
      </c>
      <c r="I117" s="28">
        <v>589365.01</v>
      </c>
      <c r="J117" s="28">
        <v>589365.01</v>
      </c>
      <c r="K117" s="48">
        <f t="shared" si="10"/>
        <v>100</v>
      </c>
      <c r="L117" s="82"/>
    </row>
    <row r="118" spans="1:12" ht="31.5" x14ac:dyDescent="0.25">
      <c r="A118" s="2"/>
      <c r="B118" s="9" t="s">
        <v>158</v>
      </c>
      <c r="C118" s="6" t="s">
        <v>224</v>
      </c>
      <c r="D118" s="25" t="s">
        <v>7</v>
      </c>
      <c r="E118" s="10">
        <v>44</v>
      </c>
      <c r="F118" s="12">
        <v>44</v>
      </c>
      <c r="G118" s="12">
        <v>44</v>
      </c>
      <c r="H118" s="28">
        <v>1301047.8799999999</v>
      </c>
      <c r="I118" s="28">
        <v>1298365.3500000001</v>
      </c>
      <c r="J118" s="28">
        <v>1298365.3500000001</v>
      </c>
      <c r="K118" s="48">
        <f t="shared" si="10"/>
        <v>100</v>
      </c>
      <c r="L118" s="82"/>
    </row>
    <row r="119" spans="1:12" ht="31.5" x14ac:dyDescent="0.25">
      <c r="A119" s="2"/>
      <c r="B119" s="9" t="s">
        <v>159</v>
      </c>
      <c r="C119" s="6" t="s">
        <v>224</v>
      </c>
      <c r="D119" s="25" t="s">
        <v>7</v>
      </c>
      <c r="E119" s="10">
        <v>24</v>
      </c>
      <c r="F119" s="12">
        <v>24</v>
      </c>
      <c r="G119" s="12">
        <v>24</v>
      </c>
      <c r="H119" s="28">
        <v>521990.16</v>
      </c>
      <c r="I119" s="28">
        <v>520871.65</v>
      </c>
      <c r="J119" s="28">
        <v>520871.65</v>
      </c>
      <c r="K119" s="48">
        <f t="shared" si="10"/>
        <v>100</v>
      </c>
      <c r="L119" s="82"/>
    </row>
    <row r="120" spans="1:12" ht="31.5" x14ac:dyDescent="0.25">
      <c r="A120" s="2"/>
      <c r="B120" s="9" t="s">
        <v>160</v>
      </c>
      <c r="C120" s="6" t="s">
        <v>224</v>
      </c>
      <c r="D120" s="25" t="s">
        <v>7</v>
      </c>
      <c r="E120" s="10">
        <v>20</v>
      </c>
      <c r="F120" s="12">
        <v>20</v>
      </c>
      <c r="G120" s="12">
        <v>20</v>
      </c>
      <c r="H120" s="28">
        <v>564853.6</v>
      </c>
      <c r="I120" s="28">
        <v>532698.67000000004</v>
      </c>
      <c r="J120" s="28">
        <v>532698.67000000004</v>
      </c>
      <c r="K120" s="48">
        <f t="shared" si="10"/>
        <v>100</v>
      </c>
      <c r="L120" s="82"/>
    </row>
    <row r="121" spans="1:12" ht="31.5" x14ac:dyDescent="0.25">
      <c r="A121" s="2"/>
      <c r="B121" s="9" t="s">
        <v>161</v>
      </c>
      <c r="C121" s="6" t="s">
        <v>224</v>
      </c>
      <c r="D121" s="25" t="s">
        <v>7</v>
      </c>
      <c r="E121" s="10">
        <v>64</v>
      </c>
      <c r="F121" s="12">
        <v>64</v>
      </c>
      <c r="G121" s="12">
        <v>64</v>
      </c>
      <c r="H121" s="28">
        <v>3170907.52</v>
      </c>
      <c r="I121" s="28">
        <v>3185027.32</v>
      </c>
      <c r="J121" s="28">
        <v>3185027.32</v>
      </c>
      <c r="K121" s="48">
        <f t="shared" si="10"/>
        <v>100</v>
      </c>
      <c r="L121" s="82"/>
    </row>
    <row r="122" spans="1:12" ht="31.5" x14ac:dyDescent="0.25">
      <c r="A122" s="2"/>
      <c r="B122" s="9" t="s">
        <v>162</v>
      </c>
      <c r="C122" s="6" t="s">
        <v>224</v>
      </c>
      <c r="D122" s="25" t="s">
        <v>7</v>
      </c>
      <c r="E122" s="10">
        <v>65</v>
      </c>
      <c r="F122" s="12">
        <v>65</v>
      </c>
      <c r="G122" s="12">
        <v>65</v>
      </c>
      <c r="H122" s="28">
        <v>4131317.45</v>
      </c>
      <c r="I122" s="28">
        <v>3845027.15</v>
      </c>
      <c r="J122" s="28">
        <v>3845027.15</v>
      </c>
      <c r="K122" s="48">
        <f t="shared" si="10"/>
        <v>100</v>
      </c>
      <c r="L122" s="82"/>
    </row>
    <row r="123" spans="1:12" ht="31.5" x14ac:dyDescent="0.25">
      <c r="A123" s="2"/>
      <c r="B123" s="9" t="s">
        <v>163</v>
      </c>
      <c r="C123" s="6" t="s">
        <v>224</v>
      </c>
      <c r="D123" s="25" t="s">
        <v>7</v>
      </c>
      <c r="E123" s="10">
        <v>3</v>
      </c>
      <c r="F123" s="12">
        <v>3</v>
      </c>
      <c r="G123" s="12">
        <v>3</v>
      </c>
      <c r="H123" s="28">
        <v>190676.19</v>
      </c>
      <c r="I123" s="28">
        <v>184365.25</v>
      </c>
      <c r="J123" s="28">
        <v>184365.25</v>
      </c>
      <c r="K123" s="48">
        <f t="shared" si="10"/>
        <v>100</v>
      </c>
      <c r="L123" s="82"/>
    </row>
    <row r="124" spans="1:12" ht="31.5" x14ac:dyDescent="0.25">
      <c r="A124" s="2"/>
      <c r="B124" s="9" t="s">
        <v>164</v>
      </c>
      <c r="C124" s="6" t="s">
        <v>224</v>
      </c>
      <c r="D124" s="25" t="s">
        <v>7</v>
      </c>
      <c r="E124" s="10">
        <v>1</v>
      </c>
      <c r="F124" s="12">
        <v>1</v>
      </c>
      <c r="G124" s="12">
        <v>1</v>
      </c>
      <c r="H124" s="28">
        <v>85743.3</v>
      </c>
      <c r="I124" s="28">
        <v>62515.4</v>
      </c>
      <c r="J124" s="28">
        <v>62515.4</v>
      </c>
      <c r="K124" s="48">
        <f t="shared" si="10"/>
        <v>100</v>
      </c>
      <c r="L124" s="82"/>
    </row>
    <row r="125" spans="1:12" ht="31.5" x14ac:dyDescent="0.25">
      <c r="A125" s="2"/>
      <c r="B125" s="9" t="s">
        <v>165</v>
      </c>
      <c r="C125" s="6" t="s">
        <v>224</v>
      </c>
      <c r="D125" s="25" t="s">
        <v>7</v>
      </c>
      <c r="E125" s="10">
        <v>105</v>
      </c>
      <c r="F125" s="12">
        <v>105</v>
      </c>
      <c r="G125" s="12">
        <v>105</v>
      </c>
      <c r="H125" s="28">
        <v>3205651.05</v>
      </c>
      <c r="I125" s="28">
        <v>3158625.36</v>
      </c>
      <c r="J125" s="28">
        <v>3158626.36</v>
      </c>
      <c r="K125" s="48">
        <f t="shared" si="10"/>
        <v>100.00003165934184</v>
      </c>
      <c r="L125" s="82"/>
    </row>
    <row r="126" spans="1:12" ht="31.5" x14ac:dyDescent="0.25">
      <c r="A126" s="2"/>
      <c r="B126" s="9" t="s">
        <v>166</v>
      </c>
      <c r="C126" s="6" t="s">
        <v>224</v>
      </c>
      <c r="D126" s="25" t="s">
        <v>7</v>
      </c>
      <c r="E126" s="10">
        <v>10</v>
      </c>
      <c r="F126" s="12">
        <v>10</v>
      </c>
      <c r="G126" s="12">
        <v>10</v>
      </c>
      <c r="H126" s="28">
        <v>484367.7</v>
      </c>
      <c r="I126" s="28">
        <v>377639.38</v>
      </c>
      <c r="J126" s="28">
        <v>377639.38</v>
      </c>
      <c r="K126" s="48">
        <f t="shared" si="10"/>
        <v>100</v>
      </c>
      <c r="L126" s="82"/>
    </row>
    <row r="127" spans="1:12" ht="31.5" x14ac:dyDescent="0.25">
      <c r="A127" s="2"/>
      <c r="B127" s="9" t="s">
        <v>167</v>
      </c>
      <c r="C127" s="6" t="s">
        <v>224</v>
      </c>
      <c r="D127" s="25" t="s">
        <v>7</v>
      </c>
      <c r="E127" s="10">
        <v>71</v>
      </c>
      <c r="F127" s="12">
        <v>75</v>
      </c>
      <c r="G127" s="12">
        <v>75</v>
      </c>
      <c r="H127" s="28">
        <v>2215097.7599999998</v>
      </c>
      <c r="I127" s="28">
        <v>2169587.56</v>
      </c>
      <c r="J127" s="28">
        <v>2169587.56</v>
      </c>
      <c r="K127" s="48">
        <f t="shared" si="10"/>
        <v>100</v>
      </c>
      <c r="L127" s="82"/>
    </row>
    <row r="128" spans="1:12" ht="31.5" x14ac:dyDescent="0.25">
      <c r="A128" s="2"/>
      <c r="B128" s="9" t="s">
        <v>168</v>
      </c>
      <c r="C128" s="6" t="s">
        <v>224</v>
      </c>
      <c r="D128" s="25" t="s">
        <v>7</v>
      </c>
      <c r="E128" s="10">
        <v>32</v>
      </c>
      <c r="F128" s="12">
        <v>32</v>
      </c>
      <c r="G128" s="12">
        <v>32</v>
      </c>
      <c r="H128" s="28">
        <v>1313376.6399999999</v>
      </c>
      <c r="I128" s="28">
        <v>1305369.3600000001</v>
      </c>
      <c r="J128" s="28">
        <v>1305369.3600000001</v>
      </c>
      <c r="K128" s="48">
        <f t="shared" si="10"/>
        <v>100</v>
      </c>
      <c r="L128" s="82"/>
    </row>
    <row r="129" spans="1:12" ht="31.5" x14ac:dyDescent="0.25">
      <c r="A129" s="2"/>
      <c r="B129" s="9" t="s">
        <v>226</v>
      </c>
      <c r="C129" s="6" t="s">
        <v>224</v>
      </c>
      <c r="D129" s="25" t="s">
        <v>7</v>
      </c>
      <c r="E129" s="27">
        <v>14</v>
      </c>
      <c r="F129" s="27">
        <v>14</v>
      </c>
      <c r="G129" s="27">
        <v>14</v>
      </c>
      <c r="H129" s="10">
        <v>92767.5</v>
      </c>
      <c r="I129" s="10">
        <v>92767.5</v>
      </c>
      <c r="J129" s="10">
        <v>92767.5</v>
      </c>
      <c r="K129" s="48">
        <f t="shared" si="10"/>
        <v>100</v>
      </c>
      <c r="L129" s="82"/>
    </row>
    <row r="130" spans="1:12" ht="31.5" x14ac:dyDescent="0.25">
      <c r="A130" s="2"/>
      <c r="B130" s="9" t="s">
        <v>169</v>
      </c>
      <c r="C130" s="6" t="s">
        <v>224</v>
      </c>
      <c r="D130" s="25" t="s">
        <v>7</v>
      </c>
      <c r="E130" s="12">
        <v>30</v>
      </c>
      <c r="F130" s="12">
        <v>30</v>
      </c>
      <c r="G130" s="12">
        <v>30</v>
      </c>
      <c r="H130" s="28">
        <v>253764.9</v>
      </c>
      <c r="I130" s="28">
        <v>253764.9</v>
      </c>
      <c r="J130" s="28">
        <v>253764.9</v>
      </c>
      <c r="K130" s="48">
        <f t="shared" si="10"/>
        <v>100</v>
      </c>
      <c r="L130" s="82"/>
    </row>
    <row r="131" spans="1:12" ht="31.5" x14ac:dyDescent="0.25">
      <c r="A131" s="34" t="s">
        <v>35</v>
      </c>
      <c r="B131" s="35" t="s">
        <v>227</v>
      </c>
      <c r="C131" s="36" t="s">
        <v>224</v>
      </c>
      <c r="D131" s="37" t="s">
        <v>7</v>
      </c>
      <c r="E131" s="38">
        <f t="shared" ref="E131:J131" si="11">SUM(E132:E173)</f>
        <v>3562</v>
      </c>
      <c r="F131" s="38">
        <f t="shared" si="11"/>
        <v>3721</v>
      </c>
      <c r="G131" s="38">
        <f t="shared" si="11"/>
        <v>3721</v>
      </c>
      <c r="H131" s="39">
        <f t="shared" si="11"/>
        <v>95919558.650000006</v>
      </c>
      <c r="I131" s="39">
        <f t="shared" si="11"/>
        <v>88797055.899999976</v>
      </c>
      <c r="J131" s="39">
        <f t="shared" si="11"/>
        <v>88797058.899999976</v>
      </c>
      <c r="K131" s="40">
        <f t="shared" si="10"/>
        <v>100.0000033784904</v>
      </c>
      <c r="L131" s="82"/>
    </row>
    <row r="132" spans="1:12" ht="31.5" x14ac:dyDescent="0.25">
      <c r="A132" s="2" t="s">
        <v>211</v>
      </c>
      <c r="B132" s="9" t="s">
        <v>228</v>
      </c>
      <c r="C132" s="33" t="s">
        <v>224</v>
      </c>
      <c r="D132" s="25" t="s">
        <v>7</v>
      </c>
      <c r="E132" s="4">
        <v>10</v>
      </c>
      <c r="F132" s="4">
        <v>10</v>
      </c>
      <c r="G132" s="4">
        <v>10</v>
      </c>
      <c r="H132" s="28">
        <f>126882.5</f>
        <v>126882.5</v>
      </c>
      <c r="I132" s="28">
        <f>126882.5</f>
        <v>126882.5</v>
      </c>
      <c r="J132" s="28">
        <f>126882.5</f>
        <v>126882.5</v>
      </c>
      <c r="K132" s="26">
        <f t="shared" si="10"/>
        <v>100</v>
      </c>
      <c r="L132" s="82"/>
    </row>
    <row r="133" spans="1:12" ht="31.5" x14ac:dyDescent="0.25">
      <c r="B133" s="9" t="s">
        <v>170</v>
      </c>
      <c r="C133" s="33" t="s">
        <v>224</v>
      </c>
      <c r="D133" s="25" t="s">
        <v>7</v>
      </c>
      <c r="E133" s="12">
        <f>15</f>
        <v>15</v>
      </c>
      <c r="F133" s="12">
        <f>15</f>
        <v>15</v>
      </c>
      <c r="G133" s="12">
        <f>15</f>
        <v>15</v>
      </c>
      <c r="H133" s="28">
        <f>413164.35</f>
        <v>413164.35</v>
      </c>
      <c r="I133" s="28">
        <v>408635.89</v>
      </c>
      <c r="J133" s="28">
        <v>408635.89</v>
      </c>
      <c r="K133" s="48">
        <f t="shared" si="10"/>
        <v>100</v>
      </c>
      <c r="L133" s="82"/>
    </row>
    <row r="134" spans="1:12" ht="31.5" x14ac:dyDescent="0.25">
      <c r="A134" s="2"/>
      <c r="B134" s="9" t="s">
        <v>171</v>
      </c>
      <c r="C134" s="33" t="s">
        <v>224</v>
      </c>
      <c r="D134" s="25" t="s">
        <v>7</v>
      </c>
      <c r="E134" s="12">
        <f>12</f>
        <v>12</v>
      </c>
      <c r="F134" s="12">
        <f>12</f>
        <v>12</v>
      </c>
      <c r="G134" s="12">
        <f>12</f>
        <v>12</v>
      </c>
      <c r="H134" s="51">
        <f>423127.2</f>
        <v>423127.2</v>
      </c>
      <c r="I134" s="51">
        <v>412365.63</v>
      </c>
      <c r="J134" s="51">
        <v>412365.63</v>
      </c>
      <c r="K134" s="48">
        <f t="shared" si="10"/>
        <v>100</v>
      </c>
      <c r="L134" s="82"/>
    </row>
    <row r="135" spans="1:12" ht="31.5" x14ac:dyDescent="0.25">
      <c r="A135" s="2"/>
      <c r="B135" s="9" t="s">
        <v>172</v>
      </c>
      <c r="C135" s="33" t="s">
        <v>224</v>
      </c>
      <c r="D135" s="25" t="s">
        <v>7</v>
      </c>
      <c r="E135" s="12">
        <f>6</f>
        <v>6</v>
      </c>
      <c r="F135" s="12">
        <f>6</f>
        <v>6</v>
      </c>
      <c r="G135" s="12">
        <f>6</f>
        <v>6</v>
      </c>
      <c r="H135" s="51">
        <f>847303.5</f>
        <v>847303.5</v>
      </c>
      <c r="I135" s="51">
        <v>841698.86</v>
      </c>
      <c r="J135" s="51">
        <v>841698.86</v>
      </c>
      <c r="K135" s="48">
        <f t="shared" si="10"/>
        <v>100</v>
      </c>
      <c r="L135" s="82"/>
    </row>
    <row r="136" spans="1:12" ht="31.5" x14ac:dyDescent="0.25">
      <c r="A136" s="2"/>
      <c r="B136" s="9" t="s">
        <v>173</v>
      </c>
      <c r="C136" s="33" t="s">
        <v>224</v>
      </c>
      <c r="D136" s="25" t="s">
        <v>7</v>
      </c>
      <c r="E136" s="12">
        <f>8</f>
        <v>8</v>
      </c>
      <c r="F136" s="12">
        <f>8</f>
        <v>8</v>
      </c>
      <c r="G136" s="12">
        <f>8</f>
        <v>8</v>
      </c>
      <c r="H136" s="51">
        <f>1295877.76</f>
        <v>1295877.76</v>
      </c>
      <c r="I136" s="51">
        <v>921854.84</v>
      </c>
      <c r="J136" s="51">
        <v>921854.84</v>
      </c>
      <c r="K136" s="48">
        <f t="shared" si="10"/>
        <v>100</v>
      </c>
      <c r="L136" s="82"/>
    </row>
    <row r="137" spans="1:12" ht="31.5" x14ac:dyDescent="0.25">
      <c r="A137" s="2"/>
      <c r="B137" s="52" t="s">
        <v>174</v>
      </c>
      <c r="C137" s="33" t="s">
        <v>224</v>
      </c>
      <c r="D137" s="25" t="s">
        <v>7</v>
      </c>
      <c r="E137" s="12">
        <f>117+66</f>
        <v>183</v>
      </c>
      <c r="F137" s="12">
        <f t="shared" ref="F137:G137" si="12">117+66</f>
        <v>183</v>
      </c>
      <c r="G137" s="12">
        <f t="shared" si="12"/>
        <v>183</v>
      </c>
      <c r="H137" s="51">
        <f>3311027.46+2036119.14</f>
        <v>5347146.5999999996</v>
      </c>
      <c r="I137" s="51">
        <v>4843612.03</v>
      </c>
      <c r="J137" s="51">
        <v>4843612.03</v>
      </c>
      <c r="K137" s="48">
        <f t="shared" si="10"/>
        <v>100</v>
      </c>
      <c r="L137" s="82"/>
    </row>
    <row r="138" spans="1:12" ht="31.5" x14ac:dyDescent="0.25">
      <c r="A138" s="2"/>
      <c r="B138" s="52" t="s">
        <v>175</v>
      </c>
      <c r="C138" s="33" t="s">
        <v>224</v>
      </c>
      <c r="D138" s="25" t="s">
        <v>7</v>
      </c>
      <c r="E138" s="12">
        <f>144+73</f>
        <v>217</v>
      </c>
      <c r="F138" s="12">
        <f t="shared" ref="F138:G138" si="13">144+73</f>
        <v>217</v>
      </c>
      <c r="G138" s="12">
        <f t="shared" si="13"/>
        <v>217</v>
      </c>
      <c r="H138" s="51">
        <f>5146901.28+2735415.12</f>
        <v>7882316.4000000004</v>
      </c>
      <c r="I138" s="51">
        <v>7521853.71</v>
      </c>
      <c r="J138" s="51">
        <v>7521853.71</v>
      </c>
      <c r="K138" s="48">
        <f t="shared" si="10"/>
        <v>100</v>
      </c>
      <c r="L138" s="82"/>
    </row>
    <row r="139" spans="1:12" ht="31.5" x14ac:dyDescent="0.25">
      <c r="A139" s="2"/>
      <c r="B139" s="52" t="s">
        <v>176</v>
      </c>
      <c r="C139" s="33" t="s">
        <v>224</v>
      </c>
      <c r="D139" s="25" t="s">
        <v>7</v>
      </c>
      <c r="E139" s="12">
        <f>10+22</f>
        <v>32</v>
      </c>
      <c r="F139" s="12">
        <f>10+21</f>
        <v>31</v>
      </c>
      <c r="G139" s="12">
        <f>10+21</f>
        <v>31</v>
      </c>
      <c r="H139" s="51">
        <f>1056123.3+1340687.04</f>
        <v>2396810.34</v>
      </c>
      <c r="I139" s="51">
        <v>1831089.34</v>
      </c>
      <c r="J139" s="51">
        <v>1831089.34</v>
      </c>
      <c r="K139" s="48">
        <f t="shared" si="10"/>
        <v>100</v>
      </c>
      <c r="L139" s="82"/>
    </row>
    <row r="140" spans="1:12" ht="31.5" x14ac:dyDescent="0.25">
      <c r="A140" s="2"/>
      <c r="B140" s="52" t="s">
        <v>177</v>
      </c>
      <c r="C140" s="33" t="s">
        <v>224</v>
      </c>
      <c r="D140" s="25" t="s">
        <v>7</v>
      </c>
      <c r="E140" s="12">
        <f>14</f>
        <v>14</v>
      </c>
      <c r="F140" s="12">
        <f>14</f>
        <v>14</v>
      </c>
      <c r="G140" s="12">
        <f>14</f>
        <v>14</v>
      </c>
      <c r="H140" s="51">
        <f>1898151.22</f>
        <v>1898151.22</v>
      </c>
      <c r="I140" s="51">
        <v>1563254.25</v>
      </c>
      <c r="J140" s="51">
        <v>1563254.25</v>
      </c>
      <c r="K140" s="48">
        <f t="shared" si="10"/>
        <v>100</v>
      </c>
      <c r="L140" s="82"/>
    </row>
    <row r="141" spans="1:12" ht="31.5" x14ac:dyDescent="0.25">
      <c r="A141" s="2"/>
      <c r="B141" s="52" t="s">
        <v>178</v>
      </c>
      <c r="C141" s="33" t="s">
        <v>224</v>
      </c>
      <c r="D141" s="25" t="s">
        <v>7</v>
      </c>
      <c r="E141" s="12">
        <f>109+30</f>
        <v>139</v>
      </c>
      <c r="F141" s="12">
        <f>109+60</f>
        <v>169</v>
      </c>
      <c r="G141" s="12">
        <f>109+60</f>
        <v>169</v>
      </c>
      <c r="H141" s="51">
        <f>3925212.08+1334727</f>
        <v>5259939.08</v>
      </c>
      <c r="I141" s="51">
        <v>4871368.6500000004</v>
      </c>
      <c r="J141" s="51">
        <v>4871368.6500000004</v>
      </c>
      <c r="K141" s="48">
        <f t="shared" si="10"/>
        <v>100</v>
      </c>
      <c r="L141" s="82"/>
    </row>
    <row r="142" spans="1:12" ht="31.5" x14ac:dyDescent="0.25">
      <c r="A142" s="2"/>
      <c r="B142" s="52" t="s">
        <v>179</v>
      </c>
      <c r="C142" s="33" t="s">
        <v>224</v>
      </c>
      <c r="D142" s="25" t="s">
        <v>7</v>
      </c>
      <c r="E142" s="12">
        <f>28+28</f>
        <v>56</v>
      </c>
      <c r="F142" s="12">
        <f>28+28</f>
        <v>56</v>
      </c>
      <c r="G142" s="12">
        <f>28+28</f>
        <v>56</v>
      </c>
      <c r="H142" s="51">
        <f>1080826.88+1318151.82</f>
        <v>2398978.7000000002</v>
      </c>
      <c r="I142" s="51">
        <v>1936974.64</v>
      </c>
      <c r="J142" s="51">
        <v>1936974.64</v>
      </c>
      <c r="K142" s="48">
        <f t="shared" si="10"/>
        <v>100</v>
      </c>
      <c r="L142" s="82"/>
    </row>
    <row r="143" spans="1:12" ht="31.5" x14ac:dyDescent="0.25">
      <c r="A143" s="2"/>
      <c r="B143" s="52" t="s">
        <v>180</v>
      </c>
      <c r="C143" s="33" t="s">
        <v>224</v>
      </c>
      <c r="D143" s="25" t="s">
        <v>7</v>
      </c>
      <c r="E143" s="12">
        <f>137+99+36</f>
        <v>272</v>
      </c>
      <c r="F143" s="12">
        <f>137+104+36</f>
        <v>277</v>
      </c>
      <c r="G143" s="12">
        <f>137+104+36</f>
        <v>277</v>
      </c>
      <c r="H143" s="51">
        <f>1842752.75+1321976.7+376604.64</f>
        <v>3541334.0900000003</v>
      </c>
      <c r="I143" s="51">
        <v>2715802.36</v>
      </c>
      <c r="J143" s="51">
        <v>2715802.36</v>
      </c>
      <c r="K143" s="48">
        <f t="shared" si="10"/>
        <v>100</v>
      </c>
      <c r="L143" s="82"/>
    </row>
    <row r="144" spans="1:12" ht="31.5" x14ac:dyDescent="0.25">
      <c r="A144" s="2"/>
      <c r="B144" s="52" t="s">
        <v>181</v>
      </c>
      <c r="C144" s="33" t="s">
        <v>224</v>
      </c>
      <c r="D144" s="25" t="s">
        <v>7</v>
      </c>
      <c r="E144" s="12">
        <f>52+79+96</f>
        <v>227</v>
      </c>
      <c r="F144" s="12">
        <f>52+79+96</f>
        <v>227</v>
      </c>
      <c r="G144" s="12">
        <f>52+79+96</f>
        <v>227</v>
      </c>
      <c r="H144" s="51">
        <f>1895537.28+2130606.3+2974204.8</f>
        <v>7000348.3799999999</v>
      </c>
      <c r="I144" s="51">
        <v>6598361.0499999998</v>
      </c>
      <c r="J144" s="51">
        <v>6598361.0499999998</v>
      </c>
      <c r="K144" s="48">
        <f t="shared" si="10"/>
        <v>100</v>
      </c>
      <c r="L144" s="82"/>
    </row>
    <row r="145" spans="1:12" ht="31.5" x14ac:dyDescent="0.25">
      <c r="A145" s="2"/>
      <c r="B145" s="52" t="s">
        <v>182</v>
      </c>
      <c r="C145" s="33" t="s">
        <v>224</v>
      </c>
      <c r="D145" s="25" t="s">
        <v>7</v>
      </c>
      <c r="E145" s="12">
        <f>7+10+12</f>
        <v>29</v>
      </c>
      <c r="F145" s="12">
        <f>7+10+12</f>
        <v>29</v>
      </c>
      <c r="G145" s="12">
        <f>7+10+12</f>
        <v>29</v>
      </c>
      <c r="H145" s="51">
        <f>2166944.29+531317.6+631469.76</f>
        <v>3329731.6500000004</v>
      </c>
      <c r="I145" s="51">
        <v>2936519.14</v>
      </c>
      <c r="J145" s="51">
        <v>2936519.14</v>
      </c>
      <c r="K145" s="48">
        <f t="shared" si="10"/>
        <v>100</v>
      </c>
      <c r="L145" s="82"/>
    </row>
    <row r="146" spans="1:12" ht="31.5" x14ac:dyDescent="0.25">
      <c r="A146" s="2"/>
      <c r="B146" s="52" t="s">
        <v>183</v>
      </c>
      <c r="C146" s="33" t="s">
        <v>224</v>
      </c>
      <c r="D146" s="25" t="s">
        <v>7</v>
      </c>
      <c r="E146" s="12">
        <f>5</f>
        <v>5</v>
      </c>
      <c r="F146" s="12">
        <f>5</f>
        <v>5</v>
      </c>
      <c r="G146" s="12">
        <f>5</f>
        <v>5</v>
      </c>
      <c r="H146" s="51">
        <f>362265.35</f>
        <v>362265.35</v>
      </c>
      <c r="I146" s="51">
        <f>271775.71</f>
        <v>271775.71000000002</v>
      </c>
      <c r="J146" s="51">
        <f>271775.71</f>
        <v>271775.71000000002</v>
      </c>
      <c r="K146" s="48">
        <f t="shared" si="10"/>
        <v>100</v>
      </c>
      <c r="L146" s="82"/>
    </row>
    <row r="147" spans="1:12" ht="31.5" x14ac:dyDescent="0.25">
      <c r="A147" s="2"/>
      <c r="B147" s="52" t="s">
        <v>184</v>
      </c>
      <c r="C147" s="33" t="s">
        <v>224</v>
      </c>
      <c r="D147" s="25" t="s">
        <v>7</v>
      </c>
      <c r="E147" s="12">
        <f>36</f>
        <v>36</v>
      </c>
      <c r="F147" s="12">
        <v>26</v>
      </c>
      <c r="G147" s="12">
        <f>26</f>
        <v>26</v>
      </c>
      <c r="H147" s="51">
        <f>520047.72</f>
        <v>520047.72</v>
      </c>
      <c r="I147" s="51">
        <v>456978.54</v>
      </c>
      <c r="J147" s="51">
        <v>456979.54</v>
      </c>
      <c r="K147" s="48">
        <f t="shared" si="10"/>
        <v>100.0002188286566</v>
      </c>
      <c r="L147" s="82"/>
    </row>
    <row r="148" spans="1:12" ht="31.5" x14ac:dyDescent="0.25">
      <c r="A148" s="2"/>
      <c r="B148" s="52" t="s">
        <v>185</v>
      </c>
      <c r="C148" s="33" t="s">
        <v>224</v>
      </c>
      <c r="D148" s="25" t="s">
        <v>7</v>
      </c>
      <c r="E148" s="12">
        <f>22</f>
        <v>22</v>
      </c>
      <c r="F148" s="12">
        <f>22</f>
        <v>22</v>
      </c>
      <c r="G148" s="12">
        <f>22</f>
        <v>22</v>
      </c>
      <c r="H148" s="51">
        <f>537142.1</f>
        <v>537142.1</v>
      </c>
      <c r="I148" s="51">
        <f>403194.28</f>
        <v>403194.28</v>
      </c>
      <c r="J148" s="51">
        <f>403194.28</f>
        <v>403194.28</v>
      </c>
      <c r="K148" s="48">
        <f t="shared" ref="K148:K173" si="14">J148/I148*100</f>
        <v>100</v>
      </c>
      <c r="L148" s="82"/>
    </row>
    <row r="149" spans="1:12" ht="31.5" x14ac:dyDescent="0.25">
      <c r="A149" s="2"/>
      <c r="B149" s="52" t="s">
        <v>186</v>
      </c>
      <c r="C149" s="33" t="s">
        <v>224</v>
      </c>
      <c r="D149" s="25" t="s">
        <v>7</v>
      </c>
      <c r="E149" s="12">
        <f>10+24</f>
        <v>34</v>
      </c>
      <c r="F149" s="12">
        <f t="shared" ref="F149:G149" si="15">10+24</f>
        <v>34</v>
      </c>
      <c r="G149" s="12">
        <f t="shared" si="15"/>
        <v>34</v>
      </c>
      <c r="H149" s="51">
        <f>178753.2+571462.56</f>
        <v>750215.76</v>
      </c>
      <c r="I149" s="51">
        <f>134218.3+426457.92</f>
        <v>560676.22</v>
      </c>
      <c r="J149" s="51">
        <f>134218.3+426457.92</f>
        <v>560676.22</v>
      </c>
      <c r="K149" s="48">
        <f t="shared" si="14"/>
        <v>100</v>
      </c>
      <c r="L149" s="82"/>
    </row>
    <row r="150" spans="1:12" ht="31.5" x14ac:dyDescent="0.25">
      <c r="A150" s="2"/>
      <c r="B150" s="52" t="s">
        <v>187</v>
      </c>
      <c r="C150" s="33" t="s">
        <v>224</v>
      </c>
      <c r="D150" s="25" t="s">
        <v>7</v>
      </c>
      <c r="E150" s="12">
        <f>19+15</f>
        <v>34</v>
      </c>
      <c r="F150" s="12">
        <f t="shared" ref="F150:G150" si="16">19+15</f>
        <v>34</v>
      </c>
      <c r="G150" s="12">
        <f t="shared" si="16"/>
        <v>34</v>
      </c>
      <c r="H150" s="51">
        <f>683209.22+613387.2</f>
        <v>1296596.42</v>
      </c>
      <c r="I150" s="51">
        <v>1036956.51</v>
      </c>
      <c r="J150" s="51">
        <v>1036956.51</v>
      </c>
      <c r="K150" s="48">
        <f t="shared" si="14"/>
        <v>100</v>
      </c>
      <c r="L150" s="82"/>
    </row>
    <row r="151" spans="1:12" ht="31.5" x14ac:dyDescent="0.25">
      <c r="A151" s="2"/>
      <c r="B151" s="52" t="s">
        <v>188</v>
      </c>
      <c r="C151" s="33" t="s">
        <v>224</v>
      </c>
      <c r="D151" s="25" t="s">
        <v>7</v>
      </c>
      <c r="E151" s="12">
        <f>15</f>
        <v>15</v>
      </c>
      <c r="F151" s="12">
        <f>15</f>
        <v>15</v>
      </c>
      <c r="G151" s="12">
        <f>15</f>
        <v>15</v>
      </c>
      <c r="H151" s="51">
        <f>1071013.05</f>
        <v>1071013.05</v>
      </c>
      <c r="I151" s="51">
        <v>863745.69</v>
      </c>
      <c r="J151" s="51">
        <v>863745.69</v>
      </c>
      <c r="K151" s="48">
        <f t="shared" si="14"/>
        <v>100</v>
      </c>
      <c r="L151" s="82"/>
    </row>
    <row r="152" spans="1:12" ht="31.5" x14ac:dyDescent="0.25">
      <c r="A152" s="2"/>
      <c r="B152" s="52" t="s">
        <v>189</v>
      </c>
      <c r="C152" s="33" t="s">
        <v>224</v>
      </c>
      <c r="D152" s="25" t="s">
        <v>7</v>
      </c>
      <c r="E152" s="12">
        <f>601+10</f>
        <v>611</v>
      </c>
      <c r="F152" s="12">
        <f>725+10</f>
        <v>735</v>
      </c>
      <c r="G152" s="12">
        <f>725+10</f>
        <v>735</v>
      </c>
      <c r="H152" s="51">
        <f>8370427.5+110525.7</f>
        <v>8480953.1999999993</v>
      </c>
      <c r="I152" s="51">
        <v>8024365.8899999997</v>
      </c>
      <c r="J152" s="51">
        <v>8024365.8899999997</v>
      </c>
      <c r="K152" s="48">
        <f t="shared" si="14"/>
        <v>100</v>
      </c>
      <c r="L152" s="82"/>
    </row>
    <row r="153" spans="1:12" ht="31.5" x14ac:dyDescent="0.25">
      <c r="A153" s="2"/>
      <c r="B153" s="52" t="s">
        <v>190</v>
      </c>
      <c r="C153" s="33" t="s">
        <v>224</v>
      </c>
      <c r="D153" s="25" t="s">
        <v>7</v>
      </c>
      <c r="E153" s="12">
        <f>26+107+12</f>
        <v>145</v>
      </c>
      <c r="F153" s="12">
        <f>24+107+12</f>
        <v>143</v>
      </c>
      <c r="G153" s="12">
        <f>24+107+12</f>
        <v>143</v>
      </c>
      <c r="H153" s="51">
        <f>756923.52+2258070.22+260950.44</f>
        <v>3275944.18</v>
      </c>
      <c r="I153" s="51">
        <v>3125836.59</v>
      </c>
      <c r="J153" s="51">
        <v>3125836.59</v>
      </c>
      <c r="K153" s="48">
        <f t="shared" si="14"/>
        <v>100</v>
      </c>
      <c r="L153" s="82"/>
    </row>
    <row r="154" spans="1:12" ht="31.5" x14ac:dyDescent="0.25">
      <c r="A154" s="2"/>
      <c r="B154" s="52" t="s">
        <v>191</v>
      </c>
      <c r="C154" s="33" t="s">
        <v>224</v>
      </c>
      <c r="D154" s="25" t="s">
        <v>7</v>
      </c>
      <c r="E154" s="12">
        <f>4+7</f>
        <v>11</v>
      </c>
      <c r="F154" s="12">
        <f t="shared" ref="F154:G154" si="17">4+7</f>
        <v>11</v>
      </c>
      <c r="G154" s="12">
        <f t="shared" si="17"/>
        <v>11</v>
      </c>
      <c r="H154" s="51">
        <f>159070.96+346099.67</f>
        <v>505170.63</v>
      </c>
      <c r="I154" s="51">
        <v>499854.58</v>
      </c>
      <c r="J154" s="51">
        <v>499854.58</v>
      </c>
      <c r="K154" s="48">
        <f t="shared" si="14"/>
        <v>100</v>
      </c>
      <c r="L154" s="82"/>
    </row>
    <row r="155" spans="1:12" ht="31.5" x14ac:dyDescent="0.25">
      <c r="A155" s="2"/>
      <c r="B155" s="52" t="s">
        <v>192</v>
      </c>
      <c r="C155" s="33" t="s">
        <v>224</v>
      </c>
      <c r="D155" s="25" t="s">
        <v>7</v>
      </c>
      <c r="E155" s="12">
        <f>29+25</f>
        <v>54</v>
      </c>
      <c r="F155" s="12">
        <f>29+25</f>
        <v>54</v>
      </c>
      <c r="G155" s="12">
        <f>29+25</f>
        <v>54</v>
      </c>
      <c r="H155" s="51">
        <f>501882.41+366301</f>
        <v>868183.40999999992</v>
      </c>
      <c r="I155" s="51">
        <v>845741.32</v>
      </c>
      <c r="J155" s="51">
        <v>845741.32</v>
      </c>
      <c r="K155" s="48">
        <f t="shared" si="14"/>
        <v>100</v>
      </c>
      <c r="L155" s="82"/>
    </row>
    <row r="156" spans="1:12" ht="31.5" x14ac:dyDescent="0.25">
      <c r="A156" s="2"/>
      <c r="B156" s="52" t="s">
        <v>193</v>
      </c>
      <c r="C156" s="33" t="s">
        <v>224</v>
      </c>
      <c r="D156" s="25" t="s">
        <v>7</v>
      </c>
      <c r="E156" s="12">
        <f>10+13</f>
        <v>23</v>
      </c>
      <c r="F156" s="12">
        <f t="shared" ref="F156:G156" si="18">10+13</f>
        <v>23</v>
      </c>
      <c r="G156" s="12">
        <f t="shared" si="18"/>
        <v>23</v>
      </c>
      <c r="H156" s="51">
        <f>329999.4+304397.86</f>
        <v>634397.26</v>
      </c>
      <c r="I156" s="51">
        <f>247653.05+280120+231035.87</f>
        <v>758808.92</v>
      </c>
      <c r="J156" s="51">
        <f>247653.05+280120+231035.87</f>
        <v>758808.92</v>
      </c>
      <c r="K156" s="48">
        <f t="shared" si="14"/>
        <v>100</v>
      </c>
      <c r="L156" s="82"/>
    </row>
    <row r="157" spans="1:12" ht="31.5" x14ac:dyDescent="0.25">
      <c r="A157" s="2"/>
      <c r="B157" s="52" t="s">
        <v>194</v>
      </c>
      <c r="C157" s="33" t="s">
        <v>224</v>
      </c>
      <c r="D157" s="25" t="s">
        <v>7</v>
      </c>
      <c r="E157" s="12">
        <f>36</f>
        <v>36</v>
      </c>
      <c r="F157" s="12">
        <f>48</f>
        <v>48</v>
      </c>
      <c r="G157" s="12">
        <f>48</f>
        <v>48</v>
      </c>
      <c r="H157" s="51">
        <f>477901.08</f>
        <v>477901.08</v>
      </c>
      <c r="I157" s="51">
        <f>498955.72</f>
        <v>498955.72</v>
      </c>
      <c r="J157" s="51">
        <f>498955.72</f>
        <v>498955.72</v>
      </c>
      <c r="K157" s="48">
        <f t="shared" si="14"/>
        <v>100</v>
      </c>
      <c r="L157" s="82"/>
    </row>
    <row r="158" spans="1:12" ht="31.5" x14ac:dyDescent="0.25">
      <c r="A158" s="2"/>
      <c r="B158" s="52" t="s">
        <v>195</v>
      </c>
      <c r="C158" s="33" t="s">
        <v>224</v>
      </c>
      <c r="D158" s="25" t="s">
        <v>7</v>
      </c>
      <c r="E158" s="12">
        <f>37+295</f>
        <v>332</v>
      </c>
      <c r="F158" s="12">
        <f>40+295</f>
        <v>335</v>
      </c>
      <c r="G158" s="12">
        <f>40+295</f>
        <v>335</v>
      </c>
      <c r="H158" s="51">
        <f>417191.28+4170901.75</f>
        <v>4588093.03</v>
      </c>
      <c r="I158" s="51">
        <v>4582368.63</v>
      </c>
      <c r="J158" s="51">
        <v>4582368.63</v>
      </c>
      <c r="K158" s="48">
        <f t="shared" si="14"/>
        <v>100</v>
      </c>
      <c r="L158" s="82"/>
    </row>
    <row r="159" spans="1:12" ht="31.5" x14ac:dyDescent="0.25">
      <c r="A159" s="2"/>
      <c r="B159" s="52" t="s">
        <v>196</v>
      </c>
      <c r="C159" s="33" t="s">
        <v>224</v>
      </c>
      <c r="D159" s="25" t="s">
        <v>7</v>
      </c>
      <c r="E159" s="12">
        <f>41+299</f>
        <v>340</v>
      </c>
      <c r="F159" s="12">
        <f>40+299</f>
        <v>339</v>
      </c>
      <c r="G159" s="12">
        <f>40+299</f>
        <v>339</v>
      </c>
      <c r="H159" s="51">
        <f>1246034.28+7175291.37</f>
        <v>8421325.6500000004</v>
      </c>
      <c r="I159" s="51">
        <v>8302945.7599999998</v>
      </c>
      <c r="J159" s="51">
        <v>8302945.7599999998</v>
      </c>
      <c r="K159" s="48">
        <f t="shared" si="14"/>
        <v>100</v>
      </c>
      <c r="L159" s="82"/>
    </row>
    <row r="160" spans="1:12" ht="31.5" x14ac:dyDescent="0.25">
      <c r="A160" s="2"/>
      <c r="B160" s="52" t="s">
        <v>197</v>
      </c>
      <c r="C160" s="33" t="s">
        <v>224</v>
      </c>
      <c r="D160" s="25" t="s">
        <v>7</v>
      </c>
      <c r="E160" s="12">
        <f>6</f>
        <v>6</v>
      </c>
      <c r="F160" s="12">
        <f>6</f>
        <v>6</v>
      </c>
      <c r="G160" s="12">
        <f>6</f>
        <v>6</v>
      </c>
      <c r="H160" s="51">
        <f>713311.02</f>
        <v>713311.02</v>
      </c>
      <c r="I160" s="51">
        <v>705965.33</v>
      </c>
      <c r="J160" s="51">
        <v>705965.33</v>
      </c>
      <c r="K160" s="48">
        <f t="shared" si="14"/>
        <v>100</v>
      </c>
      <c r="L160" s="82"/>
    </row>
    <row r="161" spans="1:12" ht="31.5" x14ac:dyDescent="0.25">
      <c r="A161" s="2"/>
      <c r="B161" s="52" t="s">
        <v>198</v>
      </c>
      <c r="C161" s="33" t="s">
        <v>224</v>
      </c>
      <c r="D161" s="25" t="s">
        <v>7</v>
      </c>
      <c r="E161" s="12">
        <f>63</f>
        <v>63</v>
      </c>
      <c r="F161" s="12">
        <f>63</f>
        <v>63</v>
      </c>
      <c r="G161" s="12">
        <f>63</f>
        <v>63</v>
      </c>
      <c r="H161" s="51">
        <f>1344994.56</f>
        <v>1344994.56</v>
      </c>
      <c r="I161" s="51">
        <v>1325736.96</v>
      </c>
      <c r="J161" s="51">
        <v>1325736.96</v>
      </c>
      <c r="K161" s="48">
        <f t="shared" si="14"/>
        <v>100</v>
      </c>
      <c r="L161" s="82"/>
    </row>
    <row r="162" spans="1:12" ht="31.5" x14ac:dyDescent="0.25">
      <c r="A162" s="2"/>
      <c r="B162" s="52" t="s">
        <v>199</v>
      </c>
      <c r="C162" s="33" t="s">
        <v>224</v>
      </c>
      <c r="D162" s="25" t="s">
        <v>7</v>
      </c>
      <c r="E162" s="12">
        <f>11</f>
        <v>11</v>
      </c>
      <c r="F162" s="12">
        <f>11</f>
        <v>11</v>
      </c>
      <c r="G162" s="12">
        <f>11</f>
        <v>11</v>
      </c>
      <c r="H162" s="51">
        <f>299133.45</f>
        <v>299133.45</v>
      </c>
      <c r="I162" s="51">
        <f>223473.58</f>
        <v>223473.58</v>
      </c>
      <c r="J162" s="51">
        <f>223473.58</f>
        <v>223473.58</v>
      </c>
      <c r="K162" s="48">
        <f t="shared" si="14"/>
        <v>100</v>
      </c>
      <c r="L162" s="82"/>
    </row>
    <row r="163" spans="1:12" ht="31.5" x14ac:dyDescent="0.25">
      <c r="A163" s="2"/>
      <c r="B163" s="52" t="s">
        <v>200</v>
      </c>
      <c r="C163" s="33" t="s">
        <v>224</v>
      </c>
      <c r="D163" s="25" t="s">
        <v>7</v>
      </c>
      <c r="E163" s="12">
        <f>28</f>
        <v>28</v>
      </c>
      <c r="F163" s="12">
        <f>28</f>
        <v>28</v>
      </c>
      <c r="G163" s="12">
        <f>28</f>
        <v>28</v>
      </c>
      <c r="H163" s="51">
        <f>261051.56</f>
        <v>261051.56</v>
      </c>
      <c r="I163" s="51">
        <f>311817.5</f>
        <v>311817.5</v>
      </c>
      <c r="J163" s="51">
        <f>311817.5</f>
        <v>311817.5</v>
      </c>
      <c r="K163" s="48">
        <f t="shared" si="14"/>
        <v>100</v>
      </c>
      <c r="L163" s="82"/>
    </row>
    <row r="164" spans="1:12" ht="31.5" x14ac:dyDescent="0.25">
      <c r="A164" s="2"/>
      <c r="B164" s="52" t="s">
        <v>201</v>
      </c>
      <c r="C164" s="33" t="s">
        <v>224</v>
      </c>
      <c r="D164" s="25" t="s">
        <v>7</v>
      </c>
      <c r="E164" s="12">
        <f>11</f>
        <v>11</v>
      </c>
      <c r="F164" s="12">
        <f>11</f>
        <v>11</v>
      </c>
      <c r="G164" s="12">
        <f>11</f>
        <v>11</v>
      </c>
      <c r="H164" s="51">
        <f>431437.04</f>
        <v>431437.04</v>
      </c>
      <c r="I164" s="51">
        <v>426965.74</v>
      </c>
      <c r="J164" s="51">
        <v>426966.74</v>
      </c>
      <c r="K164" s="48">
        <f t="shared" si="14"/>
        <v>100.00023421082919</v>
      </c>
      <c r="L164" s="82"/>
    </row>
    <row r="165" spans="1:12" ht="31.5" x14ac:dyDescent="0.25">
      <c r="A165" s="2"/>
      <c r="B165" s="52" t="s">
        <v>202</v>
      </c>
      <c r="C165" s="33" t="s">
        <v>224</v>
      </c>
      <c r="D165" s="25" t="s">
        <v>7</v>
      </c>
      <c r="E165" s="12">
        <f>31</f>
        <v>31</v>
      </c>
      <c r="F165" s="12">
        <f>31</f>
        <v>31</v>
      </c>
      <c r="G165" s="12">
        <f>31</f>
        <v>31</v>
      </c>
      <c r="H165" s="51">
        <f>239664.91</f>
        <v>239664.91</v>
      </c>
      <c r="I165" s="51">
        <f>340596</f>
        <v>340596</v>
      </c>
      <c r="J165" s="51">
        <f>340596</f>
        <v>340596</v>
      </c>
      <c r="K165" s="48">
        <f t="shared" si="14"/>
        <v>100</v>
      </c>
      <c r="L165" s="82"/>
    </row>
    <row r="166" spans="1:12" ht="31.5" x14ac:dyDescent="0.25">
      <c r="A166" s="2"/>
      <c r="B166" s="52" t="s">
        <v>203</v>
      </c>
      <c r="C166" s="33" t="s">
        <v>224</v>
      </c>
      <c r="D166" s="25" t="s">
        <v>7</v>
      </c>
      <c r="E166" s="12">
        <f>53</f>
        <v>53</v>
      </c>
      <c r="F166" s="12">
        <f>53</f>
        <v>53</v>
      </c>
      <c r="G166" s="12">
        <f>53</f>
        <v>53</v>
      </c>
      <c r="H166" s="51">
        <v>2949934.95</v>
      </c>
      <c r="I166" s="51">
        <v>2921025.37</v>
      </c>
      <c r="J166" s="51">
        <v>2921026.37</v>
      </c>
      <c r="K166" s="48">
        <f t="shared" si="14"/>
        <v>100.00003423455375</v>
      </c>
      <c r="L166" s="82"/>
    </row>
    <row r="167" spans="1:12" ht="31.5" x14ac:dyDescent="0.25">
      <c r="A167" s="2"/>
      <c r="B167" s="52" t="s">
        <v>204</v>
      </c>
      <c r="C167" s="33" t="s">
        <v>224</v>
      </c>
      <c r="D167" s="25" t="s">
        <v>7</v>
      </c>
      <c r="E167" s="12">
        <f>6</f>
        <v>6</v>
      </c>
      <c r="F167" s="12">
        <f>6</f>
        <v>6</v>
      </c>
      <c r="G167" s="12">
        <f>6</f>
        <v>6</v>
      </c>
      <c r="H167" s="51">
        <f>807766.06</f>
        <v>807766.06</v>
      </c>
      <c r="I167" s="51">
        <f>1116254.46</f>
        <v>1116254.46</v>
      </c>
      <c r="J167" s="51">
        <f>1116254.46</f>
        <v>1116254.46</v>
      </c>
      <c r="K167" s="48">
        <f t="shared" si="14"/>
        <v>100</v>
      </c>
      <c r="L167" s="82"/>
    </row>
    <row r="168" spans="1:12" ht="31.5" x14ac:dyDescent="0.25">
      <c r="A168" s="2"/>
      <c r="B168" s="52" t="s">
        <v>205</v>
      </c>
      <c r="C168" s="33" t="s">
        <v>224</v>
      </c>
      <c r="D168" s="25" t="s">
        <v>7</v>
      </c>
      <c r="E168" s="12">
        <f>60</f>
        <v>60</v>
      </c>
      <c r="F168" s="12">
        <f>60</f>
        <v>60</v>
      </c>
      <c r="G168" s="12">
        <f>60</f>
        <v>60</v>
      </c>
      <c r="H168" s="51">
        <f>1815148.8</f>
        <v>1815148.8</v>
      </c>
      <c r="I168" s="51">
        <v>1436918.06</v>
      </c>
      <c r="J168" s="51">
        <v>1436918.06</v>
      </c>
      <c r="K168" s="48">
        <f t="shared" si="14"/>
        <v>100</v>
      </c>
      <c r="L168" s="82"/>
    </row>
    <row r="169" spans="1:12" ht="31.5" x14ac:dyDescent="0.25">
      <c r="A169" s="2"/>
      <c r="B169" s="52" t="s">
        <v>206</v>
      </c>
      <c r="C169" s="33" t="s">
        <v>224</v>
      </c>
      <c r="D169" s="25" t="s">
        <v>7</v>
      </c>
      <c r="E169" s="12">
        <f>182</f>
        <v>182</v>
      </c>
      <c r="F169" s="12">
        <f>182</f>
        <v>182</v>
      </c>
      <c r="G169" s="12">
        <f>182</f>
        <v>182</v>
      </c>
      <c r="H169" s="51">
        <f>5755400.56</f>
        <v>5755400.5599999996</v>
      </c>
      <c r="I169" s="51">
        <v>5659487.6299999999</v>
      </c>
      <c r="J169" s="51">
        <v>5659487.6299999999</v>
      </c>
      <c r="K169" s="48">
        <f t="shared" si="14"/>
        <v>100</v>
      </c>
      <c r="L169" s="82"/>
    </row>
    <row r="170" spans="1:12" ht="31.5" x14ac:dyDescent="0.25">
      <c r="A170" s="2"/>
      <c r="B170" s="52" t="s">
        <v>207</v>
      </c>
      <c r="C170" s="33" t="s">
        <v>224</v>
      </c>
      <c r="D170" s="25" t="s">
        <v>7</v>
      </c>
      <c r="E170" s="12">
        <f>82</f>
        <v>82</v>
      </c>
      <c r="F170" s="12">
        <f>82</f>
        <v>82</v>
      </c>
      <c r="G170" s="12">
        <f>82</f>
        <v>82</v>
      </c>
      <c r="H170" s="51">
        <f>3517021</f>
        <v>3517021</v>
      </c>
      <c r="I170" s="51">
        <v>2987368.45</v>
      </c>
      <c r="J170" s="51">
        <v>2987368.45</v>
      </c>
      <c r="K170" s="48">
        <f t="shared" si="14"/>
        <v>100</v>
      </c>
      <c r="L170" s="82"/>
    </row>
    <row r="171" spans="1:12" ht="31.5" x14ac:dyDescent="0.25">
      <c r="A171" s="2"/>
      <c r="B171" s="52" t="s">
        <v>208</v>
      </c>
      <c r="C171" s="33" t="s">
        <v>224</v>
      </c>
      <c r="D171" s="25" t="s">
        <v>7</v>
      </c>
      <c r="E171" s="12">
        <f>12</f>
        <v>12</v>
      </c>
      <c r="F171" s="12">
        <f>11</f>
        <v>11</v>
      </c>
      <c r="G171" s="12">
        <f>11</f>
        <v>11</v>
      </c>
      <c r="H171" s="51">
        <f>1123903.8</f>
        <v>1123903.8</v>
      </c>
      <c r="I171" s="51">
        <v>1105854.96</v>
      </c>
      <c r="J171" s="51">
        <v>1105854.96</v>
      </c>
      <c r="K171" s="48">
        <f t="shared" si="14"/>
        <v>100</v>
      </c>
      <c r="L171" s="82"/>
    </row>
    <row r="172" spans="1:12" ht="31.5" x14ac:dyDescent="0.25">
      <c r="A172" s="2"/>
      <c r="B172" s="52" t="s">
        <v>209</v>
      </c>
      <c r="C172" s="33" t="s">
        <v>224</v>
      </c>
      <c r="D172" s="25" t="s">
        <v>7</v>
      </c>
      <c r="E172" s="12">
        <f>22+30</f>
        <v>52</v>
      </c>
      <c r="F172" s="12">
        <f t="shared" ref="F172:G172" si="19">22+30</f>
        <v>52</v>
      </c>
      <c r="G172" s="12">
        <f t="shared" si="19"/>
        <v>52</v>
      </c>
      <c r="H172" s="51">
        <f>740775.64+398645.4</f>
        <v>1139421.04</v>
      </c>
      <c r="I172" s="51">
        <v>1036589.23</v>
      </c>
      <c r="J172" s="51">
        <v>1036589.23</v>
      </c>
      <c r="K172" s="48">
        <f t="shared" si="14"/>
        <v>100</v>
      </c>
      <c r="L172" s="82"/>
    </row>
    <row r="173" spans="1:12" ht="31.5" x14ac:dyDescent="0.25">
      <c r="A173" s="2"/>
      <c r="B173" s="52" t="s">
        <v>229</v>
      </c>
      <c r="C173" s="33" t="s">
        <v>224</v>
      </c>
      <c r="D173" s="25" t="s">
        <v>7</v>
      </c>
      <c r="E173" s="12">
        <f>26+21</f>
        <v>47</v>
      </c>
      <c r="F173" s="12">
        <f t="shared" ref="F173:G173" si="20">26+21</f>
        <v>47</v>
      </c>
      <c r="G173" s="12">
        <f t="shared" si="20"/>
        <v>47</v>
      </c>
      <c r="H173" s="51">
        <f>1050293.92+520715.37</f>
        <v>1571009.29</v>
      </c>
      <c r="I173" s="51">
        <v>1436525.38</v>
      </c>
      <c r="J173" s="51">
        <v>1436525.38</v>
      </c>
      <c r="K173" s="48">
        <f t="shared" si="14"/>
        <v>100</v>
      </c>
      <c r="L173" s="82"/>
    </row>
    <row r="174" spans="1:12" ht="31.5" x14ac:dyDescent="0.25">
      <c r="A174" s="34" t="s">
        <v>35</v>
      </c>
      <c r="B174" s="35" t="s">
        <v>230</v>
      </c>
      <c r="C174" s="36" t="s">
        <v>224</v>
      </c>
      <c r="D174" s="37" t="s">
        <v>7</v>
      </c>
      <c r="E174" s="55">
        <f>SUM(E175:E177)</f>
        <v>39</v>
      </c>
      <c r="F174" s="55">
        <f t="shared" ref="F174:J174" si="21">SUM(F175:F177)</f>
        <v>39</v>
      </c>
      <c r="G174" s="55">
        <f t="shared" si="21"/>
        <v>39</v>
      </c>
      <c r="H174" s="39">
        <f t="shared" si="21"/>
        <v>1751347.04</v>
      </c>
      <c r="I174" s="39">
        <f t="shared" si="21"/>
        <v>1717751.24</v>
      </c>
      <c r="J174" s="39">
        <f t="shared" si="21"/>
        <v>1717751.24</v>
      </c>
      <c r="K174" s="56">
        <f>J174/I174*100</f>
        <v>100</v>
      </c>
      <c r="L174" s="82"/>
    </row>
    <row r="175" spans="1:12" ht="31.5" x14ac:dyDescent="0.25">
      <c r="A175" s="2" t="s">
        <v>211</v>
      </c>
      <c r="B175" s="52" t="s">
        <v>169</v>
      </c>
      <c r="C175" s="33" t="s">
        <v>224</v>
      </c>
      <c r="D175" s="25" t="s">
        <v>7</v>
      </c>
      <c r="E175" s="12">
        <f>10</f>
        <v>10</v>
      </c>
      <c r="F175" s="12">
        <f>10</f>
        <v>10</v>
      </c>
      <c r="G175" s="12">
        <f>10</f>
        <v>10</v>
      </c>
      <c r="H175" s="19">
        <f>368693.6</f>
        <v>368693.6</v>
      </c>
      <c r="I175" s="19">
        <v>358694.35</v>
      </c>
      <c r="J175" s="19">
        <v>358694.35</v>
      </c>
      <c r="K175" s="22">
        <f>J175/I175*100</f>
        <v>100</v>
      </c>
      <c r="L175" s="82"/>
    </row>
    <row r="176" spans="1:12" ht="31.5" x14ac:dyDescent="0.25">
      <c r="A176" s="2"/>
      <c r="B176" s="52" t="s">
        <v>231</v>
      </c>
      <c r="C176" s="33" t="s">
        <v>224</v>
      </c>
      <c r="D176" s="25" t="s">
        <v>7</v>
      </c>
      <c r="E176" s="12">
        <f>15</f>
        <v>15</v>
      </c>
      <c r="F176" s="12">
        <f>15</f>
        <v>15</v>
      </c>
      <c r="G176" s="12">
        <f>15</f>
        <v>15</v>
      </c>
      <c r="H176" s="19">
        <f>426890.1</f>
        <v>426890.1</v>
      </c>
      <c r="I176" s="19">
        <v>415369.65</v>
      </c>
      <c r="J176" s="19">
        <v>415369.65</v>
      </c>
      <c r="K176" s="22">
        <f t="shared" ref="K176:K177" si="22">J176/I176*100</f>
        <v>100</v>
      </c>
      <c r="L176" s="82"/>
    </row>
    <row r="177" spans="1:12" ht="31.5" x14ac:dyDescent="0.25">
      <c r="A177" s="2"/>
      <c r="B177" s="52" t="s">
        <v>210</v>
      </c>
      <c r="C177" s="33" t="s">
        <v>224</v>
      </c>
      <c r="D177" s="25" t="s">
        <v>7</v>
      </c>
      <c r="E177" s="12">
        <f>14</f>
        <v>14</v>
      </c>
      <c r="F177" s="12">
        <f>14</f>
        <v>14</v>
      </c>
      <c r="G177" s="12">
        <f>14</f>
        <v>14</v>
      </c>
      <c r="H177" s="19">
        <f>955763.34</f>
        <v>955763.34</v>
      </c>
      <c r="I177" s="19">
        <v>943687.24</v>
      </c>
      <c r="J177" s="19">
        <v>943687.24</v>
      </c>
      <c r="K177" s="22">
        <f t="shared" si="22"/>
        <v>100</v>
      </c>
      <c r="L177" s="82"/>
    </row>
    <row r="178" spans="1:12" ht="40.5" customHeight="1" x14ac:dyDescent="0.25">
      <c r="A178" s="34" t="s">
        <v>35</v>
      </c>
      <c r="B178" s="35" t="s">
        <v>38</v>
      </c>
      <c r="C178" s="54" t="s">
        <v>39</v>
      </c>
      <c r="D178" s="37" t="s">
        <v>40</v>
      </c>
      <c r="E178" s="38">
        <v>194180</v>
      </c>
      <c r="F178" s="38">
        <v>194180</v>
      </c>
      <c r="G178" s="38">
        <v>194180</v>
      </c>
      <c r="H178" s="57">
        <v>46922728.280000001</v>
      </c>
      <c r="I178" s="57">
        <v>52839127.920000002</v>
      </c>
      <c r="J178" s="57">
        <v>52839127.920000002</v>
      </c>
      <c r="K178" s="56">
        <v>100</v>
      </c>
    </row>
    <row r="179" spans="1:12" ht="31.5" x14ac:dyDescent="0.25">
      <c r="A179" s="34" t="s">
        <v>35</v>
      </c>
      <c r="B179" s="35" t="s">
        <v>41</v>
      </c>
      <c r="C179" s="54" t="s">
        <v>24</v>
      </c>
      <c r="D179" s="54" t="s">
        <v>42</v>
      </c>
      <c r="E179" s="38">
        <v>90</v>
      </c>
      <c r="F179" s="38">
        <v>122</v>
      </c>
      <c r="G179" s="38">
        <v>122</v>
      </c>
      <c r="H179" s="57">
        <v>1400452.07</v>
      </c>
      <c r="I179" s="57">
        <v>1400452.07</v>
      </c>
      <c r="J179" s="57">
        <v>1400452.07</v>
      </c>
      <c r="K179" s="56">
        <v>100</v>
      </c>
    </row>
    <row r="180" spans="1:12" ht="30.75" customHeight="1" x14ac:dyDescent="0.25">
      <c r="A180" s="68"/>
      <c r="B180" s="64" t="s">
        <v>113</v>
      </c>
      <c r="C180" s="68"/>
      <c r="D180" s="68"/>
      <c r="E180" s="66"/>
      <c r="F180" s="68"/>
      <c r="G180" s="68"/>
      <c r="H180" s="66">
        <f>H6+H11+H54+H66+H78+H81</f>
        <v>7214590758.2799997</v>
      </c>
      <c r="I180" s="66">
        <f t="shared" ref="I180:J180" si="23">I6+I11+I54+I66+I78+I81</f>
        <v>7666027894.2609997</v>
      </c>
      <c r="J180" s="66">
        <f t="shared" si="23"/>
        <v>7659209560.5500002</v>
      </c>
      <c r="K180" s="67">
        <f t="shared" si="7"/>
        <v>99.911057801966734</v>
      </c>
    </row>
    <row r="181" spans="1:12" ht="50.25" customHeight="1" x14ac:dyDescent="0.25">
      <c r="A181" s="115" t="s">
        <v>241</v>
      </c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</row>
    <row r="182" spans="1:12" ht="50.25" customHeight="1" x14ac:dyDescent="0.25"/>
    <row r="183" spans="1:12" ht="50.25" customHeight="1" x14ac:dyDescent="0.25"/>
    <row r="184" spans="1:12" ht="50.25" customHeight="1" x14ac:dyDescent="0.25"/>
  </sheetData>
  <mergeCells count="29">
    <mergeCell ref="A181:K181"/>
    <mergeCell ref="K67:K72"/>
    <mergeCell ref="A73:A75"/>
    <mergeCell ref="B73:B75"/>
    <mergeCell ref="H73:H75"/>
    <mergeCell ref="I73:I75"/>
    <mergeCell ref="J73:J75"/>
    <mergeCell ref="K73:K75"/>
    <mergeCell ref="A67:A72"/>
    <mergeCell ref="B67:B72"/>
    <mergeCell ref="H67:H72"/>
    <mergeCell ref="I67:I72"/>
    <mergeCell ref="J67:J72"/>
    <mergeCell ref="L81:L177"/>
    <mergeCell ref="A2:K2"/>
    <mergeCell ref="K4:K5"/>
    <mergeCell ref="H4:J4"/>
    <mergeCell ref="A4:A5"/>
    <mergeCell ref="B4:B5"/>
    <mergeCell ref="C4:C5"/>
    <mergeCell ref="D4:D5"/>
    <mergeCell ref="E4:E5"/>
    <mergeCell ref="F4:F5"/>
    <mergeCell ref="G4:G5"/>
    <mergeCell ref="A8:A9"/>
    <mergeCell ref="H8:H9"/>
    <mergeCell ref="I8:I9"/>
    <mergeCell ref="J8:J9"/>
    <mergeCell ref="K8:K9"/>
  </mergeCells>
  <dataValidations count="1">
    <dataValidation type="custom" allowBlank="1" showInputMessage="1" showErrorMessage="1" error="Только числовые значения." sqref="H84:J86 H178:J178">
      <formula1>ISNUMBER(H84)=TRUE</formula1>
    </dataValidation>
  </dataValidations>
  <pageMargins left="0.23" right="0.15748031496062992" top="0.4" bottom="0.51" header="0.17" footer="0.31496062992125984"/>
  <pageSetup paperSize="9" scale="5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Варульникова С.</dc:creator>
  <cp:lastModifiedBy>Анна В. Цурган</cp:lastModifiedBy>
  <cp:lastPrinted>2021-05-20T13:11:01Z</cp:lastPrinted>
  <dcterms:created xsi:type="dcterms:W3CDTF">2021-05-20T06:20:03Z</dcterms:created>
  <dcterms:modified xsi:type="dcterms:W3CDTF">2024-04-04T09:00:28Z</dcterms:modified>
</cp:coreProperties>
</file>