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1840" windowHeight="13620"/>
  </bookViews>
  <sheets>
    <sheet name="2022" sheetId="1" r:id="rId1"/>
  </sheets>
  <definedNames>
    <definedName name="_xlnm._FilterDatabase" localSheetId="0" hidden="1">'2022'!#REF!</definedName>
    <definedName name="Z_68533A23_659B_4AC1_87DC_2724ABE8720C_.wvu.PrintArea" localSheetId="0" hidden="1">'2022'!#REF!</definedName>
    <definedName name="_xlnm.Print_Titles" localSheetId="0">'2022'!$4:$5</definedName>
    <definedName name="_xlnm.Print_Area" localSheetId="0">'2022'!$A$1:$K$5</definedName>
  </definedNames>
  <calcPr calcId="145621"/>
</workbook>
</file>

<file path=xl/calcChain.xml><?xml version="1.0" encoding="utf-8"?>
<calcChain xmlns="http://schemas.openxmlformats.org/spreadsheetml/2006/main">
  <c r="I6" i="1" l="1"/>
  <c r="J6" i="1"/>
  <c r="H6" i="1"/>
  <c r="K10" i="1"/>
  <c r="K9" i="1"/>
  <c r="K8" i="1"/>
  <c r="K7" i="1"/>
  <c r="I11" i="1" l="1"/>
  <c r="J11" i="1"/>
  <c r="H11" i="1"/>
  <c r="I53" i="1"/>
  <c r="J53" i="1"/>
  <c r="H53" i="1"/>
  <c r="I176" i="1"/>
  <c r="J176" i="1"/>
  <c r="H176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58" i="1"/>
  <c r="K154" i="1"/>
  <c r="K151" i="1"/>
  <c r="K148" i="1"/>
  <c r="K147" i="1"/>
  <c r="K146" i="1"/>
  <c r="K136" i="1"/>
  <c r="K135" i="1"/>
  <c r="K134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3" i="1"/>
  <c r="K112" i="1"/>
  <c r="K111" i="1"/>
  <c r="K108" i="1"/>
  <c r="K107" i="1"/>
  <c r="K106" i="1"/>
  <c r="K105" i="1"/>
  <c r="K104" i="1"/>
  <c r="K101" i="1"/>
  <c r="K100" i="1"/>
  <c r="K99" i="1"/>
  <c r="K98" i="1"/>
  <c r="K97" i="1"/>
  <c r="K96" i="1"/>
  <c r="K95" i="1"/>
  <c r="K85" i="1"/>
  <c r="J174" i="1"/>
  <c r="K174" i="1" s="1"/>
  <c r="I174" i="1"/>
  <c r="H174" i="1"/>
  <c r="G174" i="1"/>
  <c r="F174" i="1"/>
  <c r="E174" i="1"/>
  <c r="J173" i="1"/>
  <c r="K173" i="1" s="1"/>
  <c r="I173" i="1"/>
  <c r="H173" i="1"/>
  <c r="G173" i="1"/>
  <c r="F173" i="1"/>
  <c r="E173" i="1"/>
  <c r="J160" i="1"/>
  <c r="K160" i="1" s="1"/>
  <c r="I160" i="1"/>
  <c r="G160" i="1"/>
  <c r="F160" i="1"/>
  <c r="J159" i="1"/>
  <c r="K159" i="1" s="1"/>
  <c r="I159" i="1"/>
  <c r="G159" i="1"/>
  <c r="F159" i="1"/>
  <c r="J157" i="1"/>
  <c r="K157" i="1" s="1"/>
  <c r="I157" i="1"/>
  <c r="H157" i="1"/>
  <c r="G157" i="1"/>
  <c r="F157" i="1"/>
  <c r="E157" i="1"/>
  <c r="J156" i="1"/>
  <c r="K156" i="1" s="1"/>
  <c r="I156" i="1"/>
  <c r="H156" i="1"/>
  <c r="G156" i="1"/>
  <c r="F156" i="1"/>
  <c r="E156" i="1"/>
  <c r="J155" i="1"/>
  <c r="K155" i="1" s="1"/>
  <c r="I155" i="1"/>
  <c r="H155" i="1"/>
  <c r="G155" i="1"/>
  <c r="F155" i="1"/>
  <c r="E155" i="1"/>
  <c r="J153" i="1"/>
  <c r="K153" i="1" s="1"/>
  <c r="I153" i="1"/>
  <c r="H153" i="1"/>
  <c r="G153" i="1"/>
  <c r="F153" i="1"/>
  <c r="E153" i="1"/>
  <c r="J152" i="1"/>
  <c r="K152" i="1" s="1"/>
  <c r="I152" i="1"/>
  <c r="H152" i="1"/>
  <c r="G152" i="1"/>
  <c r="F152" i="1"/>
  <c r="E152" i="1"/>
  <c r="J150" i="1"/>
  <c r="K150" i="1" s="1"/>
  <c r="I150" i="1"/>
  <c r="H150" i="1"/>
  <c r="G150" i="1"/>
  <c r="F150" i="1"/>
  <c r="E150" i="1"/>
  <c r="J149" i="1"/>
  <c r="K149" i="1" s="1"/>
  <c r="I149" i="1"/>
  <c r="H149" i="1"/>
  <c r="G149" i="1"/>
  <c r="F149" i="1"/>
  <c r="E149" i="1"/>
  <c r="J145" i="1"/>
  <c r="K145" i="1" s="1"/>
  <c r="I145" i="1"/>
  <c r="H145" i="1"/>
  <c r="G145" i="1"/>
  <c r="F145" i="1"/>
  <c r="E145" i="1"/>
  <c r="J144" i="1"/>
  <c r="K144" i="1" s="1"/>
  <c r="I144" i="1"/>
  <c r="H144" i="1"/>
  <c r="G144" i="1"/>
  <c r="F144" i="1"/>
  <c r="E144" i="1"/>
  <c r="J143" i="1"/>
  <c r="K143" i="1" s="1"/>
  <c r="I143" i="1"/>
  <c r="H143" i="1"/>
  <c r="G143" i="1"/>
  <c r="F143" i="1"/>
  <c r="E143" i="1"/>
  <c r="J142" i="1"/>
  <c r="K142" i="1" s="1"/>
  <c r="I142" i="1"/>
  <c r="H142" i="1"/>
  <c r="J141" i="1"/>
  <c r="I141" i="1"/>
  <c r="H141" i="1"/>
  <c r="J140" i="1"/>
  <c r="K140" i="1" s="1"/>
  <c r="I140" i="1"/>
  <c r="H140" i="1"/>
  <c r="G140" i="1"/>
  <c r="F140" i="1"/>
  <c r="E140" i="1"/>
  <c r="J139" i="1"/>
  <c r="K139" i="1" s="1"/>
  <c r="I139" i="1"/>
  <c r="H139" i="1"/>
  <c r="G139" i="1"/>
  <c r="F139" i="1"/>
  <c r="E139" i="1"/>
  <c r="J138" i="1"/>
  <c r="K138" i="1" s="1"/>
  <c r="I138" i="1"/>
  <c r="H138" i="1"/>
  <c r="G138" i="1"/>
  <c r="F138" i="1"/>
  <c r="E138" i="1"/>
  <c r="J137" i="1"/>
  <c r="K137" i="1" s="1"/>
  <c r="I137" i="1"/>
  <c r="H137" i="1"/>
  <c r="G137" i="1"/>
  <c r="F137" i="1"/>
  <c r="E137" i="1"/>
  <c r="H136" i="1"/>
  <c r="G136" i="1"/>
  <c r="F136" i="1"/>
  <c r="E136" i="1"/>
  <c r="H135" i="1"/>
  <c r="G135" i="1"/>
  <c r="F135" i="1"/>
  <c r="E135" i="1"/>
  <c r="H134" i="1"/>
  <c r="G134" i="1"/>
  <c r="F134" i="1"/>
  <c r="E134" i="1"/>
  <c r="J133" i="1"/>
  <c r="K133" i="1" s="1"/>
  <c r="I133" i="1"/>
  <c r="H133" i="1"/>
  <c r="H132" i="1" s="1"/>
  <c r="G133" i="1"/>
  <c r="F133" i="1"/>
  <c r="F132" i="1" s="1"/>
  <c r="E133" i="1"/>
  <c r="E132" i="1" s="1"/>
  <c r="I77" i="1"/>
  <c r="J77" i="1"/>
  <c r="H77" i="1"/>
  <c r="J115" i="1"/>
  <c r="I115" i="1"/>
  <c r="H115" i="1"/>
  <c r="G115" i="1"/>
  <c r="F115" i="1"/>
  <c r="E115" i="1"/>
  <c r="J114" i="1"/>
  <c r="I114" i="1"/>
  <c r="K114" i="1" s="1"/>
  <c r="H114" i="1"/>
  <c r="G114" i="1"/>
  <c r="F114" i="1"/>
  <c r="E114" i="1"/>
  <c r="J110" i="1"/>
  <c r="I110" i="1"/>
  <c r="K110" i="1" s="1"/>
  <c r="H110" i="1"/>
  <c r="G110" i="1"/>
  <c r="F110" i="1"/>
  <c r="E110" i="1"/>
  <c r="J109" i="1"/>
  <c r="I109" i="1"/>
  <c r="H109" i="1"/>
  <c r="G109" i="1"/>
  <c r="F109" i="1"/>
  <c r="E109" i="1"/>
  <c r="J103" i="1"/>
  <c r="I103" i="1"/>
  <c r="H103" i="1"/>
  <c r="G103" i="1"/>
  <c r="F103" i="1"/>
  <c r="E103" i="1"/>
  <c r="J102" i="1"/>
  <c r="I102" i="1"/>
  <c r="K102" i="1" s="1"/>
  <c r="H102" i="1"/>
  <c r="G102" i="1"/>
  <c r="F102" i="1"/>
  <c r="E102" i="1"/>
  <c r="J94" i="1"/>
  <c r="I94" i="1"/>
  <c r="K94" i="1" s="1"/>
  <c r="H94" i="1"/>
  <c r="G94" i="1"/>
  <c r="F94" i="1"/>
  <c r="E94" i="1"/>
  <c r="J93" i="1"/>
  <c r="I93" i="1"/>
  <c r="H93" i="1"/>
  <c r="G93" i="1"/>
  <c r="F93" i="1"/>
  <c r="E93" i="1"/>
  <c r="J92" i="1"/>
  <c r="I92" i="1"/>
  <c r="K92" i="1" s="1"/>
  <c r="H92" i="1"/>
  <c r="G92" i="1"/>
  <c r="F92" i="1"/>
  <c r="E92" i="1"/>
  <c r="J91" i="1"/>
  <c r="I91" i="1"/>
  <c r="H91" i="1"/>
  <c r="G91" i="1"/>
  <c r="F91" i="1"/>
  <c r="E91" i="1"/>
  <c r="J90" i="1"/>
  <c r="I90" i="1"/>
  <c r="K90" i="1" s="1"/>
  <c r="H90" i="1"/>
  <c r="G90" i="1"/>
  <c r="F90" i="1"/>
  <c r="E90" i="1"/>
  <c r="J89" i="1"/>
  <c r="I89" i="1"/>
  <c r="H89" i="1"/>
  <c r="G89" i="1"/>
  <c r="F89" i="1"/>
  <c r="E89" i="1"/>
  <c r="J88" i="1"/>
  <c r="I88" i="1"/>
  <c r="K88" i="1" s="1"/>
  <c r="H88" i="1"/>
  <c r="G88" i="1"/>
  <c r="F88" i="1"/>
  <c r="E88" i="1"/>
  <c r="J87" i="1"/>
  <c r="I87" i="1"/>
  <c r="H87" i="1"/>
  <c r="G87" i="1"/>
  <c r="F87" i="1"/>
  <c r="E87" i="1"/>
  <c r="J86" i="1"/>
  <c r="I86" i="1"/>
  <c r="K86" i="1" s="1"/>
  <c r="H86" i="1"/>
  <c r="J84" i="1"/>
  <c r="K84" i="1" s="1"/>
  <c r="I84" i="1"/>
  <c r="H84" i="1"/>
  <c r="G84" i="1"/>
  <c r="F84" i="1"/>
  <c r="E84" i="1"/>
  <c r="J83" i="1"/>
  <c r="K83" i="1" s="1"/>
  <c r="I83" i="1"/>
  <c r="H83" i="1"/>
  <c r="G83" i="1"/>
  <c r="F83" i="1"/>
  <c r="E83" i="1"/>
  <c r="J82" i="1"/>
  <c r="K82" i="1" s="1"/>
  <c r="I82" i="1"/>
  <c r="H82" i="1"/>
  <c r="H81" i="1" s="1"/>
  <c r="G82" i="1"/>
  <c r="F82" i="1"/>
  <c r="F81" i="1" s="1"/>
  <c r="E82" i="1"/>
  <c r="K79" i="1"/>
  <c r="K78" i="1"/>
  <c r="K64" i="1"/>
  <c r="K63" i="1"/>
  <c r="K62" i="1"/>
  <c r="K61" i="1"/>
  <c r="K60" i="1"/>
  <c r="K59" i="1"/>
  <c r="K58" i="1"/>
  <c r="K57" i="1"/>
  <c r="K56" i="1"/>
  <c r="K55" i="1"/>
  <c r="K54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87" i="1" l="1"/>
  <c r="K89" i="1"/>
  <c r="K91" i="1"/>
  <c r="K93" i="1"/>
  <c r="K103" i="1"/>
  <c r="K109" i="1"/>
  <c r="K115" i="1"/>
  <c r="G132" i="1"/>
  <c r="I132" i="1"/>
  <c r="K141" i="1"/>
  <c r="H80" i="1"/>
  <c r="E81" i="1"/>
  <c r="J132" i="1"/>
  <c r="K132" i="1" s="1"/>
  <c r="G81" i="1"/>
  <c r="I81" i="1"/>
  <c r="I80" i="1" s="1"/>
  <c r="J81" i="1"/>
  <c r="J80" i="1" l="1"/>
  <c r="K81" i="1"/>
  <c r="I65" i="1"/>
  <c r="J65" i="1"/>
  <c r="H65" i="1"/>
  <c r="K76" i="1"/>
  <c r="K75" i="1"/>
  <c r="K72" i="1"/>
  <c r="K71" i="1"/>
  <c r="K70" i="1"/>
  <c r="K69" i="1"/>
  <c r="K68" i="1"/>
  <c r="K67" i="1"/>
  <c r="K66" i="1"/>
  <c r="K180" i="1" l="1"/>
  <c r="K179" i="1"/>
  <c r="K176" i="1"/>
  <c r="K80" i="1"/>
  <c r="K65" i="1"/>
  <c r="K53" i="1"/>
  <c r="K11" i="1"/>
  <c r="K6" i="1" l="1"/>
  <c r="I181" i="1" l="1"/>
  <c r="H181" i="1"/>
  <c r="K77" i="1" l="1"/>
  <c r="J181" i="1"/>
  <c r="K181" i="1" s="1"/>
</calcChain>
</file>

<file path=xl/sharedStrings.xml><?xml version="1.0" encoding="utf-8"?>
<sst xmlns="http://schemas.openxmlformats.org/spreadsheetml/2006/main" count="572" uniqueCount="248">
  <si>
    <t>ГРБС</t>
  </si>
  <si>
    <t>Наименование государственной услуги (работы)</t>
  </si>
  <si>
    <t>Наименование показателя объема государственной услуги (работы)</t>
  </si>
  <si>
    <t>единица измерения</t>
  </si>
  <si>
    <t>исполнение уточненного плана, %</t>
  </si>
  <si>
    <t>уточненный план
(в соответствии с заключенными соглашениями), рублей</t>
  </si>
  <si>
    <t>кассовое исполнение, рублей</t>
  </si>
  <si>
    <t>первоначальный план (в соответствии с заключенными соглашениями), рублей</t>
  </si>
  <si>
    <t>человек</t>
  </si>
  <si>
    <t>Количество мероприятий</t>
  </si>
  <si>
    <t>Единиц</t>
  </si>
  <si>
    <t>012</t>
  </si>
  <si>
    <t>Комитет по делам молодежи, семьи, материнства и детства Брянской городской администрации</t>
  </si>
  <si>
    <t>Единица</t>
  </si>
  <si>
    <t>006</t>
  </si>
  <si>
    <t>Управление культуры Брянской городской администрации</t>
  </si>
  <si>
    <t>Реализация дополнительных общеразвивающих программ</t>
  </si>
  <si>
    <t>человеко-часов пребывания</t>
  </si>
  <si>
    <t>Человеко-час</t>
  </si>
  <si>
    <t>Реализация дополнительных предпрофессиональных программ в области искусств</t>
  </si>
  <si>
    <t>Библиотечное, библиографическое и информационное  обслуживание пользователей библиотек</t>
  </si>
  <si>
    <t>Количество посещений библиотеки в стационарных условиях и удаленно через сеть Интернет</t>
  </si>
  <si>
    <t>Показ (организация показа) концертов и концертных программ</t>
  </si>
  <si>
    <t>Число зрителей</t>
  </si>
  <si>
    <t>Человек</t>
  </si>
  <si>
    <t>Организация и проведение мероприятий</t>
  </si>
  <si>
    <t>количество проведенных мероприятий</t>
  </si>
  <si>
    <t>Организация деятельности клубных формирований и формирований самодеятельного народного творчества</t>
  </si>
  <si>
    <t>количество клубных формирований</t>
  </si>
  <si>
    <t>Показ кинофильмов</t>
  </si>
  <si>
    <t>Создание экспозиций (выставок) музеев, организация выездных выставок</t>
  </si>
  <si>
    <t>Количество экспозиций</t>
  </si>
  <si>
    <t>Количество участников мероприятий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</si>
  <si>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 а также получение льгот и компенсаций в соответствии с законодательством РФ</t>
  </si>
  <si>
    <t>Количество исполненных запросов</t>
  </si>
  <si>
    <t>Содержание (эксплуатация) имущества. находящегося в государственной (муниципальной) собственности</t>
  </si>
  <si>
    <t>Эксплуатируемая площадь объектов и прилегающей территории</t>
  </si>
  <si>
    <t>Тыс. м2</t>
  </si>
  <si>
    <t>014</t>
  </si>
  <si>
    <t>Комитет по физической культуре и спорту Брянской городской администрации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</si>
  <si>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</si>
  <si>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</t>
  </si>
  <si>
    <t>Спортивная подготовка по  неолимпийским видам спорта</t>
  </si>
  <si>
    <t>Спортивная подготовка по спорту лиц с поражением ОДА</t>
  </si>
  <si>
    <t>59</t>
  </si>
  <si>
    <t>Обеспечение доступа к объектам спорта</t>
  </si>
  <si>
    <t>пребывание на объекте спорта</t>
  </si>
  <si>
    <t>человеко-день</t>
  </si>
  <si>
    <t>Проведение тестирования выполнения нормативов испытаний (тестов) комплекса ГТО</t>
  </si>
  <si>
    <t>единица</t>
  </si>
  <si>
    <t>005</t>
  </si>
  <si>
    <t>Управление образования  Брянской городской администрации</t>
  </si>
  <si>
    <t>реализация основных общеобразовательных программ начального общего образования, очная форма обучения</t>
  </si>
  <si>
    <t>число обучающихся</t>
  </si>
  <si>
    <t xml:space="preserve"> реализация основных общеобразовательных программ начального общего образования (проходящие обучение по состоянию здоровья в медицинских организациях), очная форма обучения</t>
  </si>
  <si>
    <t xml:space="preserve"> реализация основных общеобразовательных программ начального общего образования (дети-инвалиды), очная форма обучения</t>
  </si>
  <si>
    <t xml:space="preserve"> реализация основных общеобразовательных программ начального общего образования (адаптированная образовательная программа ОВЗ), очная форма обучения</t>
  </si>
  <si>
    <t>реализация основных общеобразовательных программ основного общего образования, очная форма обучения</t>
  </si>
  <si>
    <t>реализация основных общеобразовательных программ основного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</si>
  <si>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основного общего образования (адаптированная) (дети-инвалиды), очная форма обучения</t>
  </si>
  <si>
    <t>реализация основных общеобразовательных программ основного общего образования (адаптированная) (ОВЗ), очная форма обучения</t>
  </si>
  <si>
    <t>реализация основных общеобразовательных программ среднего общего образования, очная форма обучения</t>
  </si>
  <si>
    <t>реализация основных общеобразовательных программ среднего общего образования (проходящие обучение в общеобразовательных организациях, созданных при исправительных учреждениях уголовно-исполнительной системы), заочная форма обучения</t>
  </si>
  <si>
    <t>реализация основных общеобразовательных программ среднего общего образования (проходящие обучение по состоянию здоровья в медицинских организациях), очная форма обучения</t>
  </si>
  <si>
    <t>реализация основных общеобразовательных программ среднего общего образования (адаптированная) (дети-инвалиды), очная форма обучения</t>
  </si>
  <si>
    <t>реализация основных общеобразовательных программ среднего общего образования (адаптированная) (ОВЗ), очная форма обучения</t>
  </si>
  <si>
    <t>реализация основных общеобразовательных программ дошкольного образования (до 3-х лет) - очная форма, группа полного дня</t>
  </si>
  <si>
    <t xml:space="preserve"> реализация основных общеобразовательных программ дошкольного образования (до 3-х лет) - очная форма, группа кратковременного пребывания</t>
  </si>
  <si>
    <t>реализация основных общеобразовательных программ дошкольного образования (от 3-х лет до 8 лет) - очная форма, группа полного дня</t>
  </si>
  <si>
    <t xml:space="preserve"> реализация основных общеобразовательных программ дошкольного образования (до 3-х лет) (дети-инвалиды) - очная форма, группа полного дня</t>
  </si>
  <si>
    <t>реализация основных общеобразовательных программ дошкольного образования (от 3-х лет до 8 лет) (дети-инвалиды) - очная форма, группа полного дня</t>
  </si>
  <si>
    <t xml:space="preserve"> реализация основных общеобразовательных программ дошкольного образования (от 3-х лет до 8 лет) (адаптированная с ограниченными возможностями здоровья (ОВЗ)) - очная форма, группа полного дня</t>
  </si>
  <si>
    <t>присмотр и уход (физические лица льготных категорий, определяемых учредителем)</t>
  </si>
  <si>
    <t>число человеко-дней пребывания</t>
  </si>
  <si>
    <t>человеко-дни</t>
  </si>
  <si>
    <t>присмотр и уход (физические лица за исключением льготных категорий)</t>
  </si>
  <si>
    <t>количество человеко-часов</t>
  </si>
  <si>
    <t>человеко-час</t>
  </si>
  <si>
    <t>реализация дополнительных общеразвивающих программ художественной направленности</t>
  </si>
  <si>
    <t>реализация  дополнительных общеразвивающих программ туристско-краеведческой направленности</t>
  </si>
  <si>
    <t>реализация  дополнительных общеразвивающих программ социально-гуманитарной направленности</t>
  </si>
  <si>
    <t>реализация дополнительных общеразвивающих программ технической направленности</t>
  </si>
  <si>
    <t>реализация  дополнительных общеразвивающих программ естественно-научной направленности</t>
  </si>
  <si>
    <t>реализация  дополнительных общеразвивающих программ физкультурно-спортивной направленности</t>
  </si>
  <si>
    <t>Количество кружков и секций</t>
  </si>
  <si>
    <t>реализация  дополнительных общеразвивающих программ художественной направленности</t>
  </si>
  <si>
    <t>реализация  дополнительных общеразвивающих программ технической направленности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</si>
  <si>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</si>
  <si>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Число обучающихся, их родителей (законных представителей) и педагогических работников</t>
  </si>
  <si>
    <t>психолого-медико-педагогическое обследование детей</t>
  </si>
  <si>
    <t>реализация дополнительных общеразвивающих программ</t>
  </si>
  <si>
    <t>003</t>
  </si>
  <si>
    <t>Брянская городская администрация</t>
  </si>
  <si>
    <t>008</t>
  </si>
  <si>
    <t>Комитет по жилищно-коммунальному хозяйству Брянской городской администрации</t>
  </si>
  <si>
    <t>Организация и осуществление транспортного обслуживания</t>
  </si>
  <si>
    <t>Машино-часы работы автомобилей</t>
  </si>
  <si>
    <t>Содержание (эксплуатация) имущества, находящегося в государственной (муниципальной) собственности</t>
  </si>
  <si>
    <t>Эксплуатируемая площадь объектов</t>
  </si>
  <si>
    <t>Тысяча квадратных метров</t>
  </si>
  <si>
    <t>Количество объектов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</si>
  <si>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</si>
  <si>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Организация и содержание автомобильных дорог общего пользования и искусственных дорожных сооружений в их составе</t>
  </si>
  <si>
    <t>протяженность и площадь автомобильных дорог общего прользования</t>
  </si>
  <si>
    <t>км / тыс , м2</t>
  </si>
  <si>
    <t>Количество и протяженность искусственных дорожных сооружений в составе автомобильных дорог общего пользования</t>
  </si>
  <si>
    <t>шт/погонный метр</t>
  </si>
  <si>
    <t>19/3 960,17</t>
  </si>
  <si>
    <t>Количество инженерно-транспортных сооружений</t>
  </si>
  <si>
    <t>Количество светофорных объектов</t>
  </si>
  <si>
    <t>Количество дорожных знаков и указателей</t>
  </si>
  <si>
    <t>Нанесение линий дорожной разметки</t>
  </si>
  <si>
    <t>метр квадратный</t>
  </si>
  <si>
    <t>Организация освещзения улиц</t>
  </si>
  <si>
    <t>Протяженнось линий наружнего освещения</t>
  </si>
  <si>
    <t>километр</t>
  </si>
  <si>
    <t>Количество щитов управления наружным освещением</t>
  </si>
  <si>
    <t>285</t>
  </si>
  <si>
    <t>Количество светильников</t>
  </si>
  <si>
    <t>Организация содержания фонтанов</t>
  </si>
  <si>
    <t>площадь территории</t>
  </si>
  <si>
    <t>м2</t>
  </si>
  <si>
    <t>Организация содержания городских зеленых насаждений (парки,скверы)</t>
  </si>
  <si>
    <t>площадь городских зеленых насаждений</t>
  </si>
  <si>
    <t>итого</t>
  </si>
  <si>
    <t>Сведения о выполнении муниципальными учреждениями городского округа город Брянск муниципальных заданий на оказание муниципальных услуг (выполнение работ), а также об объемах финансого обеспечения выполнения муниципальных заданий на оказание соответствующих услуг (выполнение работ) за 2022 год</t>
  </si>
  <si>
    <t>плановое значение на 2022 год
(в соответствии с государственным заданием в первоначальной редакции)</t>
  </si>
  <si>
    <t>плановое значение на 2022 год
(в соответствии с государственным заданием в последней редакции)</t>
  </si>
  <si>
    <t>фактическое значение по итогам 2022 года</t>
  </si>
  <si>
    <t>Финансовое обеспечение выполнения государственного задания 2022 года</t>
  </si>
  <si>
    <t>821,5/7276,714</t>
  </si>
  <si>
    <t>860,079/8045,237</t>
  </si>
  <si>
    <t>20/4062,00</t>
  </si>
  <si>
    <t>1251,11</t>
  </si>
  <si>
    <t>количество человеко-час</t>
  </si>
  <si>
    <t xml:space="preserve"> организация досуга детей, подростков и молодёжи</t>
  </si>
  <si>
    <t>организация отдыха детей и молодежи</t>
  </si>
  <si>
    <t>организационно-методическое и информационное сопровождение деятельности организаций и их работников</t>
  </si>
  <si>
    <t>Количество проведенных мероприятий</t>
  </si>
  <si>
    <t>коррекционно-развивающая, компенсирующая и логопедическая помощь обучающимся</t>
  </si>
  <si>
    <t>2069/515305</t>
  </si>
  <si>
    <t>1733/467755</t>
  </si>
  <si>
    <t>1719/469003</t>
  </si>
  <si>
    <t>3280/878237</t>
  </si>
  <si>
    <t>3449/876740,5</t>
  </si>
  <si>
    <t>3381/870713,5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</si>
  <si>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</si>
  <si>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количество мероприятий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</si>
  <si>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находящихся с социально опасном положении</t>
  </si>
  <si>
    <t xml:space="preserve">единица </t>
  </si>
  <si>
    <t>Дзюдо НП</t>
  </si>
  <si>
    <t>Дзюдо ТЭ</t>
  </si>
  <si>
    <t>Дзюдо ССМ</t>
  </si>
  <si>
    <t>Дзюдо ВСМ</t>
  </si>
  <si>
    <t>Спортивная борьба НП</t>
  </si>
  <si>
    <t>Спортивная борьба ТЭ</t>
  </si>
  <si>
    <t>Спортивная борьба ССМ</t>
  </si>
  <si>
    <t>Спортивная борьба ВСМ</t>
  </si>
  <si>
    <t>Тяжелая атлетика НП</t>
  </si>
  <si>
    <t>Тяжелая атлетика ТЭ</t>
  </si>
  <si>
    <t>Тяжелая атлетика ССМ</t>
  </si>
  <si>
    <t>Тяжелая атлетика ВСМ</t>
  </si>
  <si>
    <t>Прыжки на батуте НП</t>
  </si>
  <si>
    <t>Прыжки на батуте ТЭ</t>
  </si>
  <si>
    <t>Прыжки на батуте ССМ</t>
  </si>
  <si>
    <t>Прыжки на батуте ВСМ</t>
  </si>
  <si>
    <t>Спортивная гимнастика НП</t>
  </si>
  <si>
    <t>Спортивная гимнастика ТЭ</t>
  </si>
  <si>
    <t>Спортивная гимнастика ССМ</t>
  </si>
  <si>
    <t>Спортивная гимнастика ВСМ</t>
  </si>
  <si>
    <t>Баскетбол НП</t>
  </si>
  <si>
    <t>Баскетбол ТЭ</t>
  </si>
  <si>
    <t>Баскетбол ССМ</t>
  </si>
  <si>
    <t>Тхэквондо НП</t>
  </si>
  <si>
    <t>Тхэквондо ТЭ</t>
  </si>
  <si>
    <t>Фехтование НП</t>
  </si>
  <si>
    <t>Фехтование ТЭ</t>
  </si>
  <si>
    <t>Футбол НП</t>
  </si>
  <si>
    <t>Футбол ТЭ</t>
  </si>
  <si>
    <t>Бокс НП</t>
  </si>
  <si>
    <t>Бокс ТЭ</t>
  </si>
  <si>
    <t>Бокс ССМ</t>
  </si>
  <si>
    <t>Волейбол НП</t>
  </si>
  <si>
    <t>Волейбол ТЭ</t>
  </si>
  <si>
    <t>Волейбол ССМ</t>
  </si>
  <si>
    <t>Горнолыжный спорт НП</t>
  </si>
  <si>
    <t>Горнолыжный спорт ТЭ</t>
  </si>
  <si>
    <t>Лыжные гонки НП</t>
  </si>
  <si>
    <t>Лыжные гонки ТЭ</t>
  </si>
  <si>
    <t>Каратэ НП</t>
  </si>
  <si>
    <t>Каратэ ТЭ</t>
  </si>
  <si>
    <t>Пулевая стрельба НП</t>
  </si>
  <si>
    <t>Пулевая стрельба ТЭ</t>
  </si>
  <si>
    <t>Пулевая стрельба ССМ</t>
  </si>
  <si>
    <t>Пулевая стрельба ВСМ</t>
  </si>
  <si>
    <t>Настольный теннис НП</t>
  </si>
  <si>
    <t>Настольный теннис ТЭ</t>
  </si>
  <si>
    <t>Теннис НП</t>
  </si>
  <si>
    <t>Теннис ТЭ</t>
  </si>
  <si>
    <t>Легкая атлетика НП</t>
  </si>
  <si>
    <t>Гиревой спорт НП</t>
  </si>
  <si>
    <t>Гиревой спорт ТЭ</t>
  </si>
  <si>
    <t>Гиревой спорт ССМ</t>
  </si>
  <si>
    <t>Гиревой спорт ВСМ</t>
  </si>
  <si>
    <t>Самбо НП</t>
  </si>
  <si>
    <t>Самбо ТЭ</t>
  </si>
  <si>
    <t>Самбо ССМ</t>
  </si>
  <si>
    <t>Самбо ВСМ</t>
  </si>
  <si>
    <t>ВБЕ НП</t>
  </si>
  <si>
    <t>ВБЕ ТЭ</t>
  </si>
  <si>
    <t>Спортивная акробатика НП</t>
  </si>
  <si>
    <t>Спортивная акробатика ТЭ</t>
  </si>
  <si>
    <t>Спортивная акробатика ССМ</t>
  </si>
  <si>
    <t>Спортивная акробатика ВСМ</t>
  </si>
  <si>
    <t>Киокусинкай НП</t>
  </si>
  <si>
    <t>Киокусинкай ТЭ</t>
  </si>
  <si>
    <t>Пауэрлифтинг НП</t>
  </si>
  <si>
    <t>Пауэрлифтинг ТЭ</t>
  </si>
  <si>
    <t>Пауэрлифтинг ССМ</t>
  </si>
  <si>
    <t>Шахматы НП</t>
  </si>
  <si>
    <t>Шахматы ТЭ</t>
  </si>
  <si>
    <t>Шахматы ССМ</t>
  </si>
  <si>
    <t>Шашки НП</t>
  </si>
  <si>
    <t>Шашки ТЭ</t>
  </si>
  <si>
    <t>Шашки ССМ</t>
  </si>
  <si>
    <t>Тайский бокс НП</t>
  </si>
  <si>
    <t>Всестилевое каратэ НП</t>
  </si>
  <si>
    <t>Всестилевое каратэ ТЭ</t>
  </si>
  <si>
    <t>Всестилевое каратэ ССМ</t>
  </si>
  <si>
    <t>Спортивное ориентирование НП</t>
  </si>
  <si>
    <t>Спортивное ориентирование ТЭ</t>
  </si>
  <si>
    <t>Парашютный спорт НП</t>
  </si>
  <si>
    <t>Парашютный спорт ТЭ</t>
  </si>
  <si>
    <t>Спорт сверхлегкой авиации НП</t>
  </si>
  <si>
    <t>Спорт сверхлегкой авиации ТЭ</t>
  </si>
  <si>
    <t>Спорт сверхлегкой авиации ССМ</t>
  </si>
  <si>
    <t>Бодибилдинг НП</t>
  </si>
  <si>
    <t>Рукопашный бой НП</t>
  </si>
  <si>
    <t>Рукопашный бой ТЭ</t>
  </si>
  <si>
    <t>Рукопашный бой ССМ</t>
  </si>
  <si>
    <t>Фитнес-аэробика НП</t>
  </si>
  <si>
    <t>Компьютерный спорт НП</t>
  </si>
  <si>
    <t>Легкая атлетика ССМ</t>
  </si>
  <si>
    <t>60</t>
  </si>
  <si>
    <t>61</t>
  </si>
  <si>
    <t>в том числе</t>
  </si>
  <si>
    <t>Примечание: по ГРБС "Комитет по физической культуре и спорту в графе" "Первоначальный план (в соответствии с заключенными соглашениями)" разница на сумму 18 438 290,90 руб. по МАУ ФОК "Бежица". Соглашение не заключалось, т.к. МАУ ФОК "Бежица" не введено в эксплуатацию.</t>
  </si>
  <si>
    <t>число обратившихся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</si>
</sst>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0"/>
    <numFmt numFmtId="165" formatCode="#,##0.00_ ;[Red]\-#,##0.00\ "/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8"/>
      <name val="Tahoma"/>
      <family val="2"/>
      <charset val="204"/>
    </font>
    <font>
      <sz val="10"/>
      <name val="Arial Cyr"/>
      <charset val="204"/>
    </font>
    <font>
      <b/>
      <sz val="10"/>
      <color rgb="FF000000"/>
      <name val="Arial CY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sz val="10"/>
      <color indexed="8"/>
      <name val="Segoe U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2">
    <xf numFmtId="0" fontId="0" fillId="0" borderId="0"/>
    <xf numFmtId="0" fontId="2" fillId="0" borderId="0"/>
    <xf numFmtId="49" fontId="3" fillId="0" borderId="2">
      <alignment horizontal="center" vertical="top" shrinkToFit="1"/>
    </xf>
    <xf numFmtId="0" fontId="4" fillId="0" borderId="2">
      <alignment vertical="top" wrapText="1"/>
    </xf>
    <xf numFmtId="4" fontId="4" fillId="3" borderId="2">
      <alignment horizontal="right" vertical="top" shrinkToFit="1"/>
    </xf>
    <xf numFmtId="0" fontId="2" fillId="0" borderId="0"/>
    <xf numFmtId="0" fontId="5" fillId="0" borderId="0"/>
    <xf numFmtId="0" fontId="2" fillId="0" borderId="0"/>
    <xf numFmtId="0" fontId="1" fillId="0" borderId="0"/>
    <xf numFmtId="0" fontId="6" fillId="0" borderId="0"/>
    <xf numFmtId="0" fontId="2" fillId="0" borderId="0"/>
    <xf numFmtId="4" fontId="7" fillId="3" borderId="2">
      <alignment horizontal="right" vertical="top" shrinkToFit="1"/>
    </xf>
  </cellStyleXfs>
  <cellXfs count="104">
    <xf numFmtId="0" fontId="0" fillId="0" borderId="0" xfId="0"/>
    <xf numFmtId="49" fontId="8" fillId="4" borderId="1" xfId="0" applyNumberFormat="1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center" vertical="center" wrapText="1"/>
    </xf>
    <xf numFmtId="49" fontId="9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3" fontId="9" fillId="2" borderId="1" xfId="0" applyNumberFormat="1" applyFont="1" applyFill="1" applyBorder="1" applyAlignment="1" applyProtection="1">
      <alignment horizontal="center" vertical="center" wrapText="1"/>
    </xf>
    <xf numFmtId="43" fontId="9" fillId="2" borderId="1" xfId="0" applyNumberFormat="1" applyFont="1" applyFill="1" applyBorder="1" applyAlignment="1" applyProtection="1">
      <alignment horizontal="right"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Border="1" applyAlignment="1" applyProtection="1">
      <alignment horizontal="left" vertical="center" wrapText="1"/>
    </xf>
    <xf numFmtId="4" fontId="9" fillId="2" borderId="0" xfId="0" applyNumberFormat="1" applyFont="1" applyFill="1" applyBorder="1" applyAlignment="1" applyProtection="1">
      <alignment horizontal="center" vertical="center" wrapText="1"/>
    </xf>
    <xf numFmtId="43" fontId="8" fillId="4" borderId="1" xfId="0" applyNumberFormat="1" applyFont="1" applyFill="1" applyBorder="1" applyAlignment="1" applyProtection="1">
      <alignment horizontal="left" vertical="center" wrapText="1"/>
    </xf>
    <xf numFmtId="0" fontId="9" fillId="2" borderId="1" xfId="0" applyFont="1" applyFill="1" applyBorder="1" applyAlignment="1" applyProtection="1">
      <alignment horizontal="left" vertical="center" wrapText="1"/>
    </xf>
    <xf numFmtId="4" fontId="9" fillId="2" borderId="1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4" fontId="8" fillId="5" borderId="1" xfId="0" applyNumberFormat="1" applyFont="1" applyFill="1" applyBorder="1" applyAlignment="1" applyProtection="1">
      <alignment horizontal="center" vertical="center" wrapText="1"/>
    </xf>
    <xf numFmtId="4" fontId="9" fillId="2" borderId="1" xfId="0" applyNumberFormat="1" applyFont="1" applyFill="1" applyBorder="1" applyAlignment="1" applyProtection="1">
      <alignment horizontal="right" vertical="center" wrapText="1"/>
    </xf>
    <xf numFmtId="4" fontId="9" fillId="2" borderId="0" xfId="0" applyNumberFormat="1" applyFont="1" applyFill="1" applyBorder="1" applyAlignment="1" applyProtection="1">
      <alignment horizontal="right" vertical="center" wrapText="1"/>
    </xf>
    <xf numFmtId="4" fontId="8" fillId="4" borderId="1" xfId="0" applyNumberFormat="1" applyFont="1" applyFill="1" applyBorder="1" applyAlignment="1" applyProtection="1">
      <alignment horizontal="right" vertical="center" wrapText="1"/>
    </xf>
    <xf numFmtId="4" fontId="8" fillId="5" borderId="1" xfId="0" applyNumberFormat="1" applyFont="1" applyFill="1" applyBorder="1" applyAlignment="1" applyProtection="1">
      <alignment horizontal="right" vertical="center" wrapText="1"/>
    </xf>
    <xf numFmtId="4" fontId="9" fillId="6" borderId="1" xfId="0" applyNumberFormat="1" applyFont="1" applyFill="1" applyBorder="1" applyAlignment="1" applyProtection="1">
      <alignment horizontal="right" vertical="center" wrapText="1"/>
    </xf>
    <xf numFmtId="0" fontId="9" fillId="6" borderId="1" xfId="0" applyFont="1" applyFill="1" applyBorder="1" applyAlignment="1" applyProtection="1">
      <alignment horizontal="center" vertical="center" wrapText="1"/>
    </xf>
    <xf numFmtId="4" fontId="9" fillId="6" borderId="1" xfId="0" applyNumberFormat="1" applyFont="1" applyFill="1" applyBorder="1" applyAlignment="1" applyProtection="1">
      <alignment horizontal="center" vertical="center" wrapText="1"/>
    </xf>
    <xf numFmtId="49" fontId="9" fillId="6" borderId="1" xfId="0" applyNumberFormat="1" applyFont="1" applyFill="1" applyBorder="1" applyAlignment="1" applyProtection="1">
      <alignment horizontal="center" vertical="center" wrapText="1"/>
    </xf>
    <xf numFmtId="3" fontId="9" fillId="6" borderId="1" xfId="0" applyNumberFormat="1" applyFont="1" applyFill="1" applyBorder="1" applyAlignment="1" applyProtection="1">
      <alignment horizontal="center" vertical="center" wrapText="1"/>
    </xf>
    <xf numFmtId="0" fontId="9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>
      <alignment horizontal="center" vertical="center" wrapText="1"/>
    </xf>
    <xf numFmtId="165" fontId="9" fillId="6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center" wrapText="1"/>
    </xf>
    <xf numFmtId="3" fontId="10" fillId="2" borderId="1" xfId="0" applyNumberFormat="1" applyFont="1" applyFill="1" applyBorder="1" applyAlignment="1" applyProtection="1">
      <alignment horizontal="center" vertical="center" wrapText="1"/>
    </xf>
    <xf numFmtId="0" fontId="12" fillId="2" borderId="0" xfId="0" applyFont="1" applyFill="1" applyBorder="1" applyAlignment="1" applyProtection="1">
      <alignment horizontal="center" vertical="center"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 applyProtection="1">
      <alignment horizontal="left" vertical="center" wrapText="1"/>
    </xf>
    <xf numFmtId="4" fontId="10" fillId="2" borderId="1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 applyProtection="1">
      <alignment horizontal="right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 applyProtection="1">
      <alignment horizontal="center" vertical="center" wrapText="1"/>
    </xf>
    <xf numFmtId="3" fontId="13" fillId="2" borderId="1" xfId="0" applyNumberFormat="1" applyFont="1" applyFill="1" applyBorder="1" applyAlignment="1" applyProtection="1">
      <alignment horizontal="center" vertical="center" wrapText="1"/>
    </xf>
    <xf numFmtId="0" fontId="13" fillId="2" borderId="0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3" fillId="2" borderId="1" xfId="0" applyFont="1" applyFill="1" applyBorder="1" applyAlignment="1" applyProtection="1">
      <alignment horizontal="left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4" fontId="14" fillId="4" borderId="1" xfId="0" applyNumberFormat="1" applyFont="1" applyFill="1" applyBorder="1" applyAlignment="1" applyProtection="1">
      <alignment horizontal="right" vertical="center" wrapText="1"/>
    </xf>
    <xf numFmtId="4" fontId="9" fillId="4" borderId="1" xfId="0" applyNumberFormat="1" applyFont="1" applyFill="1" applyBorder="1" applyAlignment="1" applyProtection="1">
      <alignment horizontal="right" vertical="center" wrapText="1"/>
    </xf>
    <xf numFmtId="166" fontId="9" fillId="2" borderId="0" xfId="0" applyNumberFormat="1" applyFont="1" applyFill="1" applyBorder="1" applyAlignment="1" applyProtection="1">
      <alignment horizontal="center" vertical="center" wrapText="1"/>
    </xf>
    <xf numFmtId="0" fontId="10" fillId="0" borderId="1" xfId="7" applyFont="1" applyFill="1" applyBorder="1" applyAlignment="1">
      <alignment wrapText="1"/>
    </xf>
    <xf numFmtId="0" fontId="10" fillId="2" borderId="1" xfId="7" applyFont="1" applyFill="1" applyBorder="1" applyAlignment="1">
      <alignment wrapText="1"/>
    </xf>
    <xf numFmtId="0" fontId="9" fillId="0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 applyProtection="1">
      <alignment horizontal="center" vertical="center" wrapText="1"/>
    </xf>
    <xf numFmtId="165" fontId="13" fillId="2" borderId="3" xfId="0" applyNumberFormat="1" applyFont="1" applyFill="1" applyBorder="1" applyAlignment="1" applyProtection="1">
      <alignment horizontal="center" vertical="center" wrapText="1"/>
    </xf>
    <xf numFmtId="0" fontId="13" fillId="2" borderId="3" xfId="0" applyFont="1" applyFill="1" applyBorder="1" applyAlignment="1" applyProtection="1">
      <alignment horizontal="left" vertical="center" wrapText="1"/>
    </xf>
    <xf numFmtId="4" fontId="8" fillId="4" borderId="1" xfId="0" applyNumberFormat="1" applyFont="1" applyFill="1" applyBorder="1" applyAlignment="1" applyProtection="1">
      <alignment horizontal="left" vertical="center" wrapText="1"/>
    </xf>
    <xf numFmtId="165" fontId="13" fillId="2" borderId="4" xfId="0" applyNumberFormat="1" applyFont="1" applyFill="1" applyBorder="1" applyAlignment="1" applyProtection="1">
      <alignment horizontal="center" vertical="center" wrapText="1"/>
    </xf>
    <xf numFmtId="0" fontId="13" fillId="2" borderId="4" xfId="0" applyFont="1" applyFill="1" applyBorder="1" applyAlignment="1" applyProtection="1">
      <alignment horizontal="left" vertical="center" wrapText="1"/>
    </xf>
    <xf numFmtId="1" fontId="9" fillId="6" borderId="1" xfId="0" applyNumberFormat="1" applyFont="1" applyFill="1" applyBorder="1" applyAlignment="1" applyProtection="1">
      <alignment horizontal="center" vertical="center" wrapText="1"/>
    </xf>
    <xf numFmtId="4" fontId="9" fillId="6" borderId="1" xfId="0" applyNumberFormat="1" applyFont="1" applyFill="1" applyBorder="1" applyAlignment="1" applyProtection="1">
      <alignment vertical="center" wrapText="1"/>
    </xf>
    <xf numFmtId="4" fontId="14" fillId="4" borderId="1" xfId="0" applyNumberFormat="1" applyFont="1" applyFill="1" applyBorder="1" applyAlignment="1" applyProtection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4" fontId="13" fillId="2" borderId="4" xfId="0" applyNumberFormat="1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 applyProtection="1">
      <alignment horizontal="left" vertical="center" wrapText="1"/>
    </xf>
    <xf numFmtId="0" fontId="0" fillId="0" borderId="6" xfId="0" applyBorder="1" applyAlignment="1">
      <alignment vertical="center" wrapText="1"/>
    </xf>
    <xf numFmtId="4" fontId="10" fillId="2" borderId="4" xfId="0" applyNumberFormat="1" applyFont="1" applyFill="1" applyBorder="1" applyAlignment="1" applyProtection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right" vertical="center" wrapText="1"/>
    </xf>
    <xf numFmtId="4" fontId="10" fillId="2" borderId="5" xfId="0" applyNumberFormat="1" applyFont="1" applyFill="1" applyBorder="1" applyAlignment="1">
      <alignment horizontal="right" vertical="center" wrapText="1"/>
    </xf>
    <xf numFmtId="4" fontId="10" fillId="2" borderId="3" xfId="0" applyNumberFormat="1" applyFont="1" applyFill="1" applyBorder="1" applyAlignment="1">
      <alignment horizontal="right" vertical="center" wrapText="1"/>
    </xf>
    <xf numFmtId="49" fontId="10" fillId="2" borderId="4" xfId="0" applyNumberFormat="1" applyFont="1" applyFill="1" applyBorder="1" applyAlignment="1" applyProtection="1">
      <alignment horizontal="center" vertical="center" wrapText="1"/>
    </xf>
    <xf numFmtId="49" fontId="10" fillId="2" borderId="5" xfId="0" applyNumberFormat="1" applyFont="1" applyFill="1" applyBorder="1" applyAlignment="1" applyProtection="1">
      <alignment horizontal="center" vertical="center" wrapText="1"/>
    </xf>
    <xf numFmtId="0" fontId="10" fillId="2" borderId="4" xfId="0" applyFont="1" applyFill="1" applyBorder="1" applyAlignment="1" applyProtection="1">
      <alignment horizontal="left" vertical="center" wrapText="1"/>
    </xf>
    <xf numFmtId="0" fontId="10" fillId="2" borderId="5" xfId="0" applyFont="1" applyFill="1" applyBorder="1" applyAlignment="1" applyProtection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 applyProtection="1">
      <alignment horizontal="righ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center" wrapText="1"/>
    </xf>
    <xf numFmtId="4" fontId="8" fillId="2" borderId="4" xfId="0" applyNumberFormat="1" applyFont="1" applyFill="1" applyBorder="1" applyAlignment="1" applyProtection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8" fillId="2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" fontId="9" fillId="2" borderId="4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2" borderId="3" xfId="0" applyNumberFormat="1" applyFont="1" applyFill="1" applyBorder="1" applyAlignment="1" applyProtection="1">
      <alignment horizontal="center" vertical="center" wrapText="1"/>
    </xf>
    <xf numFmtId="4" fontId="9" fillId="4" borderId="4" xfId="0" applyNumberFormat="1" applyFont="1" applyFill="1" applyBorder="1" applyAlignment="1" applyProtection="1">
      <alignment horizontal="right" vertical="center" wrapText="1"/>
    </xf>
    <xf numFmtId="4" fontId="9" fillId="4" borderId="3" xfId="0" applyNumberFormat="1" applyFont="1" applyFill="1" applyBorder="1" applyAlignment="1" applyProtection="1">
      <alignment horizontal="right" vertical="center" wrapText="1"/>
    </xf>
  </cellXfs>
  <cellStyles count="12">
    <cellStyle name="Normal_3" xfId="1"/>
    <cellStyle name="xl31" xfId="2"/>
    <cellStyle name="xl38" xfId="11"/>
    <cellStyle name="xl40" xfId="3"/>
    <cellStyle name="xl41" xfId="4"/>
    <cellStyle name="Обычный" xfId="0" builtinId="0"/>
    <cellStyle name="Обычный 10" xfId="5"/>
    <cellStyle name="Обычный 2" xfId="6"/>
    <cellStyle name="Обычный 2 2" xfId="7"/>
    <cellStyle name="Обычный 2 3" xfId="8"/>
    <cellStyle name="Обычный 3" xfId="9"/>
    <cellStyle name="Обычный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P184"/>
  <sheetViews>
    <sheetView tabSelected="1" topLeftCell="A175" zoomScale="85" zoomScaleNormal="85" zoomScaleSheetLayoutView="85" workbookViewId="0">
      <selection activeCell="H189" sqref="H189"/>
    </sheetView>
  </sheetViews>
  <sheetFormatPr defaultRowHeight="15.75" x14ac:dyDescent="0.25"/>
  <cols>
    <col min="1" max="1" width="12.5703125" style="4" customWidth="1"/>
    <col min="2" max="2" width="58.85546875" style="11" customWidth="1"/>
    <col min="3" max="3" width="33.85546875" style="4" customWidth="1"/>
    <col min="4" max="4" width="20" style="4" customWidth="1"/>
    <col min="5" max="5" width="21.7109375" style="12" customWidth="1"/>
    <col min="6" max="6" width="21.7109375" style="4" customWidth="1"/>
    <col min="7" max="7" width="20.85546875" style="4" customWidth="1"/>
    <col min="8" max="8" width="21.7109375" style="12" customWidth="1"/>
    <col min="9" max="9" width="20.28515625" style="4" customWidth="1"/>
    <col min="10" max="10" width="21.5703125" style="4" customWidth="1"/>
    <col min="11" max="11" width="15" style="24" customWidth="1"/>
    <col min="12" max="12" width="44.28515625" style="4" customWidth="1"/>
    <col min="13" max="13" width="9.140625" style="4" customWidth="1"/>
    <col min="14" max="15" width="9.140625" style="4"/>
    <col min="16" max="16" width="27.28515625" style="4" customWidth="1"/>
    <col min="17" max="16384" width="9.140625" style="4"/>
  </cols>
  <sheetData>
    <row r="2" spans="1:16" ht="39.75" customHeight="1" x14ac:dyDescent="0.25">
      <c r="A2" s="87" t="s">
        <v>125</v>
      </c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6" ht="14.25" customHeight="1" x14ac:dyDescent="0.25"/>
    <row r="4" spans="1:16" ht="42.75" customHeight="1" x14ac:dyDescent="0.25">
      <c r="A4" s="91" t="s">
        <v>0</v>
      </c>
      <c r="B4" s="91" t="s">
        <v>1</v>
      </c>
      <c r="C4" s="92" t="s">
        <v>2</v>
      </c>
      <c r="D4" s="92" t="s">
        <v>3</v>
      </c>
      <c r="E4" s="93" t="s">
        <v>126</v>
      </c>
      <c r="F4" s="92" t="s">
        <v>127</v>
      </c>
      <c r="G4" s="92" t="s">
        <v>128</v>
      </c>
      <c r="H4" s="91" t="s">
        <v>129</v>
      </c>
      <c r="I4" s="92"/>
      <c r="J4" s="92"/>
      <c r="K4" s="89" t="s">
        <v>4</v>
      </c>
    </row>
    <row r="5" spans="1:16" ht="123" customHeight="1" x14ac:dyDescent="0.25">
      <c r="A5" s="92"/>
      <c r="B5" s="92"/>
      <c r="C5" s="92"/>
      <c r="D5" s="92"/>
      <c r="E5" s="93"/>
      <c r="F5" s="92"/>
      <c r="G5" s="92"/>
      <c r="H5" s="19" t="s">
        <v>7</v>
      </c>
      <c r="I5" s="16" t="s">
        <v>5</v>
      </c>
      <c r="J5" s="16" t="s">
        <v>6</v>
      </c>
      <c r="K5" s="90"/>
    </row>
    <row r="6" spans="1:16" x14ac:dyDescent="0.25">
      <c r="A6" s="1" t="s">
        <v>91</v>
      </c>
      <c r="B6" s="2" t="s">
        <v>92</v>
      </c>
      <c r="C6" s="2"/>
      <c r="D6" s="2"/>
      <c r="E6" s="64"/>
      <c r="F6" s="2"/>
      <c r="G6" s="2"/>
      <c r="H6" s="3">
        <f>H7+H8+H10</f>
        <v>92071192.280000001</v>
      </c>
      <c r="I6" s="3">
        <f t="shared" ref="I6:J6" si="0">I7+I8+I10</f>
        <v>94722560.829999998</v>
      </c>
      <c r="J6" s="3">
        <f t="shared" si="0"/>
        <v>94722560.829999998</v>
      </c>
      <c r="K6" s="25">
        <f>J6/I6*100</f>
        <v>100</v>
      </c>
    </row>
    <row r="7" spans="1:16" ht="75" customHeight="1" x14ac:dyDescent="0.25">
      <c r="A7" s="94" t="s">
        <v>91</v>
      </c>
      <c r="B7" s="95" t="s">
        <v>95</v>
      </c>
      <c r="C7" s="95" t="s">
        <v>96</v>
      </c>
      <c r="D7" s="95" t="s">
        <v>13</v>
      </c>
      <c r="E7" s="7">
        <v>86944</v>
      </c>
      <c r="F7" s="7">
        <v>86944</v>
      </c>
      <c r="G7" s="7">
        <v>81312</v>
      </c>
      <c r="H7" s="15">
        <v>34867296</v>
      </c>
      <c r="I7" s="15">
        <v>36496860.25</v>
      </c>
      <c r="J7" s="15">
        <v>36496860.25</v>
      </c>
      <c r="K7" s="55">
        <f t="shared" ref="K7:K10" si="1">J7/I7*100</f>
        <v>100</v>
      </c>
    </row>
    <row r="8" spans="1:16" ht="75" customHeight="1" x14ac:dyDescent="0.25">
      <c r="A8" s="96" t="s">
        <v>91</v>
      </c>
      <c r="B8" s="97" t="s">
        <v>97</v>
      </c>
      <c r="C8" s="10" t="s">
        <v>98</v>
      </c>
      <c r="D8" s="10" t="s">
        <v>99</v>
      </c>
      <c r="E8" s="15">
        <v>6.95</v>
      </c>
      <c r="F8" s="15">
        <v>6.95</v>
      </c>
      <c r="G8" s="15">
        <v>6.95</v>
      </c>
      <c r="H8" s="98">
        <v>22759380.879999999</v>
      </c>
      <c r="I8" s="98">
        <v>23781185.18</v>
      </c>
      <c r="J8" s="98">
        <v>23781185.18</v>
      </c>
      <c r="K8" s="102">
        <f t="shared" si="1"/>
        <v>100</v>
      </c>
    </row>
    <row r="9" spans="1:16" ht="75" customHeight="1" x14ac:dyDescent="0.25">
      <c r="A9" s="99"/>
      <c r="B9" s="100"/>
      <c r="C9" s="10" t="s">
        <v>100</v>
      </c>
      <c r="D9" s="95" t="s">
        <v>13</v>
      </c>
      <c r="E9" s="7">
        <v>11</v>
      </c>
      <c r="F9" s="7">
        <v>11</v>
      </c>
      <c r="G9" s="7">
        <v>11</v>
      </c>
      <c r="H9" s="101"/>
      <c r="I9" s="101"/>
      <c r="J9" s="101"/>
      <c r="K9" s="103" t="e">
        <f t="shared" si="1"/>
        <v>#DIV/0!</v>
      </c>
    </row>
    <row r="10" spans="1:16" ht="63" x14ac:dyDescent="0.25">
      <c r="A10" s="10" t="s">
        <v>91</v>
      </c>
      <c r="B10" s="14" t="s">
        <v>101</v>
      </c>
      <c r="C10" s="10" t="s">
        <v>247</v>
      </c>
      <c r="D10" s="10" t="s">
        <v>8</v>
      </c>
      <c r="E10" s="7">
        <v>100000</v>
      </c>
      <c r="F10" s="7">
        <v>100000</v>
      </c>
      <c r="G10" s="7">
        <v>87842</v>
      </c>
      <c r="H10" s="15">
        <v>34444515.399999999</v>
      </c>
      <c r="I10" s="15">
        <v>34444515.399999999</v>
      </c>
      <c r="J10" s="15">
        <v>34444515.399999999</v>
      </c>
      <c r="K10" s="55">
        <f t="shared" si="1"/>
        <v>100</v>
      </c>
    </row>
    <row r="11" spans="1:16" ht="31.5" x14ac:dyDescent="0.25">
      <c r="A11" s="1" t="s">
        <v>50</v>
      </c>
      <c r="B11" s="2" t="s">
        <v>51</v>
      </c>
      <c r="C11" s="2"/>
      <c r="D11" s="2"/>
      <c r="E11" s="64"/>
      <c r="F11" s="2"/>
      <c r="G11" s="13"/>
      <c r="H11" s="3">
        <f>SUM(H12:H52)</f>
        <v>4978078196.9799986</v>
      </c>
      <c r="I11" s="3">
        <f t="shared" ref="I11:J11" si="2">SUM(I12:I52)</f>
        <v>5746714744.7200003</v>
      </c>
      <c r="J11" s="3">
        <f t="shared" si="2"/>
        <v>5746714744.7200003</v>
      </c>
      <c r="K11" s="25">
        <f t="shared" ref="K11:K64" si="3">J11/I11*100</f>
        <v>100</v>
      </c>
      <c r="L11" s="11"/>
      <c r="P11" s="12"/>
    </row>
    <row r="12" spans="1:16" ht="31.5" x14ac:dyDescent="0.25">
      <c r="A12" s="5"/>
      <c r="B12" s="6" t="s">
        <v>52</v>
      </c>
      <c r="C12" s="6" t="s">
        <v>53</v>
      </c>
      <c r="D12" s="6" t="s">
        <v>8</v>
      </c>
      <c r="E12" s="15">
        <v>22882</v>
      </c>
      <c r="F12" s="7">
        <v>23340</v>
      </c>
      <c r="G12" s="7">
        <v>23340</v>
      </c>
      <c r="H12" s="8">
        <v>992180651.03181565</v>
      </c>
      <c r="I12" s="8">
        <v>1062212690.2915807</v>
      </c>
      <c r="J12" s="8">
        <v>1062212690.2915807</v>
      </c>
      <c r="K12" s="55">
        <f t="shared" si="3"/>
        <v>100</v>
      </c>
      <c r="L12" s="56"/>
    </row>
    <row r="13" spans="1:16" ht="63" x14ac:dyDescent="0.25">
      <c r="A13" s="5"/>
      <c r="B13" s="9" t="s">
        <v>54</v>
      </c>
      <c r="C13" s="9" t="s">
        <v>53</v>
      </c>
      <c r="D13" s="6" t="s">
        <v>8</v>
      </c>
      <c r="E13" s="15">
        <v>237</v>
      </c>
      <c r="F13" s="7">
        <v>237</v>
      </c>
      <c r="G13" s="7">
        <v>237</v>
      </c>
      <c r="H13" s="8">
        <v>9058193.9948514253</v>
      </c>
      <c r="I13" s="8">
        <v>9711923.1954325028</v>
      </c>
      <c r="J13" s="8">
        <v>9711923.1954325028</v>
      </c>
      <c r="K13" s="55">
        <f t="shared" si="3"/>
        <v>100</v>
      </c>
      <c r="L13" s="56"/>
    </row>
    <row r="14" spans="1:16" ht="47.25" x14ac:dyDescent="0.25">
      <c r="A14" s="5"/>
      <c r="B14" s="9" t="s">
        <v>55</v>
      </c>
      <c r="C14" s="9" t="s">
        <v>53</v>
      </c>
      <c r="D14" s="6" t="s">
        <v>8</v>
      </c>
      <c r="E14" s="15">
        <v>176</v>
      </c>
      <c r="F14" s="7">
        <v>176</v>
      </c>
      <c r="G14" s="7">
        <v>176</v>
      </c>
      <c r="H14" s="8">
        <v>22737749.780691355</v>
      </c>
      <c r="I14" s="8">
        <v>24780339.251038481</v>
      </c>
      <c r="J14" s="8">
        <v>24780339.251038481</v>
      </c>
      <c r="K14" s="55">
        <f t="shared" si="3"/>
        <v>100</v>
      </c>
      <c r="L14" s="56"/>
    </row>
    <row r="15" spans="1:16" ht="47.25" x14ac:dyDescent="0.25">
      <c r="A15" s="5"/>
      <c r="B15" s="9" t="s">
        <v>56</v>
      </c>
      <c r="C15" s="9" t="s">
        <v>53</v>
      </c>
      <c r="D15" s="6" t="s">
        <v>8</v>
      </c>
      <c r="E15" s="15">
        <v>204</v>
      </c>
      <c r="F15" s="7">
        <v>227</v>
      </c>
      <c r="G15" s="7">
        <v>227</v>
      </c>
      <c r="H15" s="8">
        <v>19909773.817846797</v>
      </c>
      <c r="I15" s="8">
        <v>24371845.150941677</v>
      </c>
      <c r="J15" s="8">
        <v>24371845.150941677</v>
      </c>
      <c r="K15" s="55">
        <f t="shared" si="3"/>
        <v>100</v>
      </c>
      <c r="L15" s="56"/>
    </row>
    <row r="16" spans="1:16" ht="31.5" x14ac:dyDescent="0.25">
      <c r="A16" s="5"/>
      <c r="B16" s="9" t="s">
        <v>57</v>
      </c>
      <c r="C16" s="9" t="s">
        <v>53</v>
      </c>
      <c r="D16" s="6" t="s">
        <v>8</v>
      </c>
      <c r="E16" s="15">
        <v>24874</v>
      </c>
      <c r="F16" s="7">
        <v>25431</v>
      </c>
      <c r="G16" s="7">
        <v>25431</v>
      </c>
      <c r="H16" s="8">
        <v>1149451770.9837315</v>
      </c>
      <c r="I16" s="8">
        <v>1235381933.0676119</v>
      </c>
      <c r="J16" s="8">
        <v>1235381933.0676119</v>
      </c>
      <c r="K16" s="55">
        <f t="shared" si="3"/>
        <v>100</v>
      </c>
      <c r="L16" s="56"/>
    </row>
    <row r="17" spans="1:12" ht="63" x14ac:dyDescent="0.25">
      <c r="A17" s="5"/>
      <c r="B17" s="9" t="s">
        <v>58</v>
      </c>
      <c r="C17" s="9" t="s">
        <v>53</v>
      </c>
      <c r="D17" s="6" t="s">
        <v>8</v>
      </c>
      <c r="E17" s="15">
        <v>237</v>
      </c>
      <c r="F17" s="7">
        <v>237</v>
      </c>
      <c r="G17" s="7">
        <v>237</v>
      </c>
      <c r="H17" s="8">
        <v>7754594.4948514262</v>
      </c>
      <c r="I17" s="8">
        <v>8383016.2454325035</v>
      </c>
      <c r="J17" s="8">
        <v>8383016.2454325035</v>
      </c>
      <c r="K17" s="55">
        <f t="shared" si="3"/>
        <v>100</v>
      </c>
      <c r="L17" s="56"/>
    </row>
    <row r="18" spans="1:12" ht="47.25" x14ac:dyDescent="0.25">
      <c r="A18" s="5"/>
      <c r="B18" s="9" t="s">
        <v>59</v>
      </c>
      <c r="C18" s="9" t="s">
        <v>53</v>
      </c>
      <c r="D18" s="6" t="s">
        <v>8</v>
      </c>
      <c r="E18" s="15">
        <v>209</v>
      </c>
      <c r="F18" s="7">
        <v>215</v>
      </c>
      <c r="G18" s="7">
        <v>215</v>
      </c>
      <c r="H18" s="8">
        <v>35544653.407695979</v>
      </c>
      <c r="I18" s="8">
        <v>39998868.821552694</v>
      </c>
      <c r="J18" s="8">
        <v>39998868.821552694</v>
      </c>
      <c r="K18" s="55">
        <f t="shared" si="3"/>
        <v>100</v>
      </c>
      <c r="L18" s="56"/>
    </row>
    <row r="19" spans="1:12" ht="47.25" x14ac:dyDescent="0.25">
      <c r="A19" s="5"/>
      <c r="B19" s="9" t="s">
        <v>60</v>
      </c>
      <c r="C19" s="9" t="s">
        <v>53</v>
      </c>
      <c r="D19" s="6" t="s">
        <v>8</v>
      </c>
      <c r="E19" s="15">
        <v>158</v>
      </c>
      <c r="F19" s="7">
        <v>161</v>
      </c>
      <c r="G19" s="7">
        <v>161</v>
      </c>
      <c r="H19" s="8">
        <v>24147557.673234284</v>
      </c>
      <c r="I19" s="8">
        <v>26589214.169302247</v>
      </c>
      <c r="J19" s="8">
        <v>26589214.169302247</v>
      </c>
      <c r="K19" s="55">
        <f t="shared" si="3"/>
        <v>100</v>
      </c>
      <c r="L19" s="56"/>
    </row>
    <row r="20" spans="1:12" ht="31.5" x14ac:dyDescent="0.25">
      <c r="A20" s="5"/>
      <c r="B20" s="9" t="s">
        <v>61</v>
      </c>
      <c r="C20" s="9" t="s">
        <v>53</v>
      </c>
      <c r="D20" s="6" t="s">
        <v>8</v>
      </c>
      <c r="E20" s="15">
        <v>4229</v>
      </c>
      <c r="F20" s="7">
        <v>4265</v>
      </c>
      <c r="G20" s="7">
        <v>4265</v>
      </c>
      <c r="H20" s="8">
        <v>220103631.10644168</v>
      </c>
      <c r="I20" s="8">
        <v>231161667.22033596</v>
      </c>
      <c r="J20" s="8">
        <v>231161667.22033596</v>
      </c>
      <c r="K20" s="55">
        <f t="shared" si="3"/>
        <v>100</v>
      </c>
      <c r="L20" s="56"/>
    </row>
    <row r="21" spans="1:12" ht="78.75" x14ac:dyDescent="0.25">
      <c r="A21" s="5"/>
      <c r="B21" s="9" t="s">
        <v>62</v>
      </c>
      <c r="C21" s="9" t="s">
        <v>53</v>
      </c>
      <c r="D21" s="6" t="s">
        <v>8</v>
      </c>
      <c r="E21" s="15">
        <v>316</v>
      </c>
      <c r="F21" s="7">
        <v>304</v>
      </c>
      <c r="G21" s="7">
        <v>304</v>
      </c>
      <c r="H21" s="8">
        <v>11182397.446468567</v>
      </c>
      <c r="I21" s="8">
        <v>11890077.384521017</v>
      </c>
      <c r="J21" s="8">
        <v>11890077.384521017</v>
      </c>
      <c r="K21" s="55">
        <f t="shared" si="3"/>
        <v>100</v>
      </c>
      <c r="L21" s="56"/>
    </row>
    <row r="22" spans="1:12" ht="63" x14ac:dyDescent="0.25">
      <c r="A22" s="5"/>
      <c r="B22" s="9" t="s">
        <v>63</v>
      </c>
      <c r="C22" s="9" t="s">
        <v>53</v>
      </c>
      <c r="D22" s="6" t="s">
        <v>8</v>
      </c>
      <c r="E22" s="15">
        <v>25</v>
      </c>
      <c r="F22" s="7">
        <v>25</v>
      </c>
      <c r="G22" s="7">
        <v>25</v>
      </c>
      <c r="H22" s="8">
        <v>1035774.3092459311</v>
      </c>
      <c r="I22" s="8">
        <v>1161352.9062270573</v>
      </c>
      <c r="J22" s="8">
        <v>1161352.9062270573</v>
      </c>
      <c r="K22" s="55">
        <f t="shared" si="3"/>
        <v>100</v>
      </c>
      <c r="L22" s="56"/>
    </row>
    <row r="23" spans="1:12" ht="47.25" x14ac:dyDescent="0.25">
      <c r="A23" s="5"/>
      <c r="B23" s="9" t="s">
        <v>64</v>
      </c>
      <c r="C23" s="9" t="s">
        <v>53</v>
      </c>
      <c r="D23" s="6" t="s">
        <v>8</v>
      </c>
      <c r="E23" s="15">
        <v>28</v>
      </c>
      <c r="F23" s="7">
        <v>26</v>
      </c>
      <c r="G23" s="7">
        <v>26</v>
      </c>
      <c r="H23" s="8">
        <v>6099296.5371554419</v>
      </c>
      <c r="I23" s="8">
        <v>5884246.3536761394</v>
      </c>
      <c r="J23" s="8">
        <v>5884246.3536761394</v>
      </c>
      <c r="K23" s="55">
        <f t="shared" si="3"/>
        <v>100</v>
      </c>
      <c r="L23" s="56"/>
    </row>
    <row r="24" spans="1:12" ht="47.25" x14ac:dyDescent="0.25">
      <c r="A24" s="10"/>
      <c r="B24" s="9" t="s">
        <v>65</v>
      </c>
      <c r="C24" s="9" t="s">
        <v>53</v>
      </c>
      <c r="D24" s="6" t="s">
        <v>8</v>
      </c>
      <c r="E24" s="15">
        <v>1</v>
      </c>
      <c r="F24" s="10">
        <v>3</v>
      </c>
      <c r="G24" s="10">
        <v>3</v>
      </c>
      <c r="H24" s="23">
        <v>223880.02596983724</v>
      </c>
      <c r="I24" s="8">
        <v>699383.7923472469</v>
      </c>
      <c r="J24" s="8">
        <v>699383.7923472469</v>
      </c>
      <c r="K24" s="55">
        <f t="shared" si="3"/>
        <v>100</v>
      </c>
      <c r="L24" s="56"/>
    </row>
    <row r="25" spans="1:12" ht="47.25" x14ac:dyDescent="0.25">
      <c r="A25" s="10"/>
      <c r="B25" s="6" t="s">
        <v>66</v>
      </c>
      <c r="C25" s="6" t="s">
        <v>53</v>
      </c>
      <c r="D25" s="6" t="s">
        <v>8</v>
      </c>
      <c r="E25" s="15">
        <v>4586</v>
      </c>
      <c r="F25" s="10">
        <v>4465</v>
      </c>
      <c r="G25" s="10">
        <v>4465</v>
      </c>
      <c r="H25" s="23">
        <v>377805480.23473364</v>
      </c>
      <c r="I25" s="8">
        <v>464511901.27036089</v>
      </c>
      <c r="J25" s="8">
        <v>464511901.27036089</v>
      </c>
      <c r="K25" s="55">
        <f t="shared" si="3"/>
        <v>100</v>
      </c>
      <c r="L25" s="56"/>
    </row>
    <row r="26" spans="1:12" ht="47.25" x14ac:dyDescent="0.25">
      <c r="A26" s="10"/>
      <c r="B26" s="6" t="s">
        <v>67</v>
      </c>
      <c r="C26" s="6" t="s">
        <v>53</v>
      </c>
      <c r="D26" s="6" t="s">
        <v>8</v>
      </c>
      <c r="E26" s="15">
        <v>21</v>
      </c>
      <c r="F26" s="10">
        <v>20</v>
      </c>
      <c r="G26" s="10">
        <v>20</v>
      </c>
      <c r="H26" s="23">
        <v>1115315.6691559982</v>
      </c>
      <c r="I26" s="8">
        <v>1398561.1709870589</v>
      </c>
      <c r="J26" s="8">
        <v>1398561.1709870589</v>
      </c>
      <c r="K26" s="55">
        <f t="shared" si="3"/>
        <v>100</v>
      </c>
      <c r="L26" s="56"/>
    </row>
    <row r="27" spans="1:12" ht="47.25" x14ac:dyDescent="0.25">
      <c r="A27" s="10"/>
      <c r="B27" s="6" t="s">
        <v>68</v>
      </c>
      <c r="C27" s="6" t="s">
        <v>53</v>
      </c>
      <c r="D27" s="6" t="s">
        <v>8</v>
      </c>
      <c r="E27" s="15">
        <v>19015</v>
      </c>
      <c r="F27" s="10">
        <v>18703</v>
      </c>
      <c r="G27" s="10">
        <v>18703</v>
      </c>
      <c r="H27" s="23">
        <v>1451041094.5395858</v>
      </c>
      <c r="I27" s="8">
        <v>1815074184.8210483</v>
      </c>
      <c r="J27" s="8">
        <v>1815074184.8210483</v>
      </c>
      <c r="K27" s="55">
        <f t="shared" si="3"/>
        <v>100</v>
      </c>
      <c r="L27" s="56"/>
    </row>
    <row r="28" spans="1:12" ht="47.25" x14ac:dyDescent="0.25">
      <c r="A28" s="10"/>
      <c r="B28" s="6" t="s">
        <v>69</v>
      </c>
      <c r="C28" s="6" t="s">
        <v>53</v>
      </c>
      <c r="D28" s="6" t="s">
        <v>8</v>
      </c>
      <c r="E28" s="15">
        <v>10</v>
      </c>
      <c r="F28" s="10">
        <v>9</v>
      </c>
      <c r="G28" s="10">
        <v>9</v>
      </c>
      <c r="H28" s="23">
        <v>1052523.3834076182</v>
      </c>
      <c r="I28" s="8">
        <v>1257179.4344441765</v>
      </c>
      <c r="J28" s="8">
        <v>1257179.4344441765</v>
      </c>
      <c r="K28" s="55">
        <f t="shared" si="3"/>
        <v>100</v>
      </c>
      <c r="L28" s="56"/>
    </row>
    <row r="29" spans="1:12" ht="47.25" x14ac:dyDescent="0.25">
      <c r="A29" s="10"/>
      <c r="B29" s="6" t="s">
        <v>70</v>
      </c>
      <c r="C29" s="6" t="s">
        <v>53</v>
      </c>
      <c r="D29" s="6" t="s">
        <v>8</v>
      </c>
      <c r="E29" s="15">
        <v>162</v>
      </c>
      <c r="F29" s="10">
        <v>147</v>
      </c>
      <c r="G29" s="10">
        <v>147</v>
      </c>
      <c r="H29" s="23">
        <v>16866880.359203413</v>
      </c>
      <c r="I29" s="8">
        <v>18182256.069254886</v>
      </c>
      <c r="J29" s="8">
        <v>18182256.069254886</v>
      </c>
      <c r="K29" s="55">
        <f t="shared" si="3"/>
        <v>100</v>
      </c>
      <c r="L29" s="56"/>
    </row>
    <row r="30" spans="1:12" ht="63" x14ac:dyDescent="0.25">
      <c r="A30" s="10"/>
      <c r="B30" s="6" t="s">
        <v>71</v>
      </c>
      <c r="C30" s="6" t="s">
        <v>53</v>
      </c>
      <c r="D30" s="6" t="s">
        <v>8</v>
      </c>
      <c r="E30" s="15">
        <v>1514</v>
      </c>
      <c r="F30" s="10">
        <v>1538</v>
      </c>
      <c r="G30" s="10">
        <v>1538</v>
      </c>
      <c r="H30" s="23">
        <v>155900578.91391337</v>
      </c>
      <c r="I30" s="8">
        <v>199109357.68390483</v>
      </c>
      <c r="J30" s="8">
        <v>199109357.68390483</v>
      </c>
      <c r="K30" s="55">
        <f t="shared" si="3"/>
        <v>100</v>
      </c>
      <c r="L30" s="56"/>
    </row>
    <row r="31" spans="1:12" ht="31.5" x14ac:dyDescent="0.25">
      <c r="A31" s="10"/>
      <c r="B31" s="6" t="s">
        <v>72</v>
      </c>
      <c r="C31" s="6" t="s">
        <v>73</v>
      </c>
      <c r="D31" s="6" t="s">
        <v>74</v>
      </c>
      <c r="E31" s="15">
        <v>554987</v>
      </c>
      <c r="F31" s="10">
        <v>558691</v>
      </c>
      <c r="G31" s="10">
        <v>560178</v>
      </c>
      <c r="H31" s="23">
        <v>41238279.109999999</v>
      </c>
      <c r="I31" s="8">
        <v>59298305.390000001</v>
      </c>
      <c r="J31" s="8">
        <v>59298305.390000001</v>
      </c>
      <c r="K31" s="55">
        <f t="shared" si="3"/>
        <v>100</v>
      </c>
      <c r="L31" s="56"/>
    </row>
    <row r="32" spans="1:12" ht="31.5" x14ac:dyDescent="0.25">
      <c r="A32" s="10"/>
      <c r="B32" s="6" t="s">
        <v>75</v>
      </c>
      <c r="C32" s="6" t="s">
        <v>73</v>
      </c>
      <c r="D32" s="6" t="s">
        <v>74</v>
      </c>
      <c r="E32" s="15">
        <v>2912209</v>
      </c>
      <c r="F32" s="10">
        <v>2707373</v>
      </c>
      <c r="G32" s="10">
        <v>2557939</v>
      </c>
      <c r="H32" s="23">
        <v>173525750.15000001</v>
      </c>
      <c r="I32" s="8">
        <v>254097257.63</v>
      </c>
      <c r="J32" s="8">
        <v>254097257.63</v>
      </c>
      <c r="K32" s="55">
        <f t="shared" si="3"/>
        <v>100</v>
      </c>
      <c r="L32" s="56"/>
    </row>
    <row r="33" spans="1:12" ht="31.5" x14ac:dyDescent="0.25">
      <c r="A33" s="10"/>
      <c r="B33" s="6" t="s">
        <v>78</v>
      </c>
      <c r="C33" s="6" t="s">
        <v>134</v>
      </c>
      <c r="D33" s="6" t="s">
        <v>77</v>
      </c>
      <c r="E33" s="15">
        <v>1094128</v>
      </c>
      <c r="F33" s="7">
        <v>545940</v>
      </c>
      <c r="G33" s="7">
        <v>544986</v>
      </c>
      <c r="H33" s="23">
        <v>107585516.22471145</v>
      </c>
      <c r="I33" s="8">
        <v>61144951.609949075</v>
      </c>
      <c r="J33" s="8">
        <v>61145835.095094651</v>
      </c>
      <c r="K33" s="55">
        <f t="shared" si="3"/>
        <v>100.00144490284531</v>
      </c>
      <c r="L33" s="56"/>
    </row>
    <row r="34" spans="1:12" ht="31.5" x14ac:dyDescent="0.25">
      <c r="A34" s="10"/>
      <c r="B34" s="6" t="s">
        <v>79</v>
      </c>
      <c r="C34" s="6" t="s">
        <v>134</v>
      </c>
      <c r="D34" s="6" t="s">
        <v>77</v>
      </c>
      <c r="E34" s="15">
        <v>261964</v>
      </c>
      <c r="F34" s="7">
        <v>145713</v>
      </c>
      <c r="G34" s="7">
        <v>144848</v>
      </c>
      <c r="H34" s="23">
        <v>23386299.30050227</v>
      </c>
      <c r="I34" s="8">
        <v>14518679.329004927</v>
      </c>
      <c r="J34" s="8">
        <v>14518633.646706061</v>
      </c>
      <c r="K34" s="55">
        <f t="shared" si="3"/>
        <v>99.999685354998007</v>
      </c>
      <c r="L34" s="56"/>
    </row>
    <row r="35" spans="1:12" ht="31.5" x14ac:dyDescent="0.25">
      <c r="A35" s="10"/>
      <c r="B35" s="6" t="s">
        <v>80</v>
      </c>
      <c r="C35" s="6" t="s">
        <v>134</v>
      </c>
      <c r="D35" s="6" t="s">
        <v>77</v>
      </c>
      <c r="E35" s="15">
        <v>605908</v>
      </c>
      <c r="F35" s="7">
        <v>426742</v>
      </c>
      <c r="G35" s="7">
        <v>422692</v>
      </c>
      <c r="H35" s="23">
        <v>57931368.698986456</v>
      </c>
      <c r="I35" s="8">
        <v>43279573.435355254</v>
      </c>
      <c r="J35" s="8">
        <v>43278740.180632658</v>
      </c>
      <c r="K35" s="55">
        <f t="shared" si="3"/>
        <v>99.998074715953848</v>
      </c>
      <c r="L35" s="56"/>
    </row>
    <row r="36" spans="1:12" ht="31.5" x14ac:dyDescent="0.25">
      <c r="A36" s="10"/>
      <c r="B36" s="6" t="s">
        <v>81</v>
      </c>
      <c r="C36" s="6" t="s">
        <v>134</v>
      </c>
      <c r="D36" s="6" t="s">
        <v>77</v>
      </c>
      <c r="E36" s="15">
        <v>174248</v>
      </c>
      <c r="F36" s="7">
        <v>88626</v>
      </c>
      <c r="G36" s="7">
        <v>88438</v>
      </c>
      <c r="H36" s="23">
        <v>15515426.523518344</v>
      </c>
      <c r="I36" s="8">
        <v>8766853.6439546961</v>
      </c>
      <c r="J36" s="8">
        <v>8766981.7868192233</v>
      </c>
      <c r="K36" s="55">
        <f t="shared" si="3"/>
        <v>100.00146167450413</v>
      </c>
      <c r="L36" s="56"/>
    </row>
    <row r="37" spans="1:12" ht="31.5" x14ac:dyDescent="0.25">
      <c r="A37" s="10"/>
      <c r="B37" s="6" t="s">
        <v>82</v>
      </c>
      <c r="C37" s="6" t="s">
        <v>134</v>
      </c>
      <c r="D37" s="6" t="s">
        <v>77</v>
      </c>
      <c r="E37" s="15">
        <v>42912</v>
      </c>
      <c r="F37" s="7">
        <v>41098</v>
      </c>
      <c r="G37" s="7">
        <v>40942</v>
      </c>
      <c r="H37" s="23">
        <v>3875832.5916970018</v>
      </c>
      <c r="I37" s="8">
        <v>3739028.7806504876</v>
      </c>
      <c r="J37" s="8">
        <v>3739056.4658232052</v>
      </c>
      <c r="K37" s="55">
        <f t="shared" si="3"/>
        <v>100.00074043753983</v>
      </c>
      <c r="L37" s="56"/>
    </row>
    <row r="38" spans="1:12" ht="38.25" customHeight="1" x14ac:dyDescent="0.25">
      <c r="A38" s="10"/>
      <c r="B38" s="6" t="s">
        <v>83</v>
      </c>
      <c r="C38" s="6" t="s">
        <v>134</v>
      </c>
      <c r="D38" s="6" t="s">
        <v>77</v>
      </c>
      <c r="E38" s="15">
        <v>167944</v>
      </c>
      <c r="F38" s="7">
        <v>75381</v>
      </c>
      <c r="G38" s="7">
        <v>74637</v>
      </c>
      <c r="H38" s="23">
        <v>15306106.850584483</v>
      </c>
      <c r="I38" s="8">
        <v>7838893.8810855607</v>
      </c>
      <c r="J38" s="8">
        <v>7838733.5049241995</v>
      </c>
      <c r="K38" s="55">
        <f t="shared" si="3"/>
        <v>99.99795409704744</v>
      </c>
      <c r="L38" s="56"/>
    </row>
    <row r="39" spans="1:12" ht="30.75" customHeight="1" x14ac:dyDescent="0.25">
      <c r="A39" s="10"/>
      <c r="B39" s="6" t="s">
        <v>135</v>
      </c>
      <c r="C39" s="6" t="s">
        <v>9</v>
      </c>
      <c r="D39" s="9" t="s">
        <v>10</v>
      </c>
      <c r="E39" s="15">
        <v>179</v>
      </c>
      <c r="F39" s="7">
        <v>181</v>
      </c>
      <c r="G39" s="7">
        <v>181</v>
      </c>
      <c r="H39" s="23">
        <v>1477300</v>
      </c>
      <c r="I39" s="8">
        <v>1462687.15</v>
      </c>
      <c r="J39" s="8">
        <v>1462687.15</v>
      </c>
      <c r="K39" s="55">
        <f t="shared" si="3"/>
        <v>100</v>
      </c>
      <c r="L39" s="56"/>
    </row>
    <row r="40" spans="1:12" ht="30" customHeight="1" x14ac:dyDescent="0.25">
      <c r="A40" s="10"/>
      <c r="B40" s="6" t="s">
        <v>135</v>
      </c>
      <c r="C40" s="6" t="s">
        <v>84</v>
      </c>
      <c r="D40" s="9" t="s">
        <v>10</v>
      </c>
      <c r="E40" s="15">
        <v>110</v>
      </c>
      <c r="F40" s="7">
        <v>111</v>
      </c>
      <c r="G40" s="7">
        <v>111</v>
      </c>
      <c r="H40" s="23">
        <v>302900</v>
      </c>
      <c r="I40" s="8">
        <v>294755.34000000003</v>
      </c>
      <c r="J40" s="8">
        <v>294755.34000000003</v>
      </c>
      <c r="K40" s="55">
        <f t="shared" si="3"/>
        <v>100</v>
      </c>
      <c r="L40" s="56"/>
    </row>
    <row r="41" spans="1:12" ht="31.5" x14ac:dyDescent="0.25">
      <c r="A41" s="10"/>
      <c r="B41" s="6" t="s">
        <v>85</v>
      </c>
      <c r="C41" s="6" t="s">
        <v>134</v>
      </c>
      <c r="D41" s="6" t="s">
        <v>77</v>
      </c>
      <c r="E41" s="15"/>
      <c r="F41" s="7">
        <v>474669</v>
      </c>
      <c r="G41" s="7">
        <v>474669</v>
      </c>
      <c r="H41" s="23">
        <v>0</v>
      </c>
      <c r="I41" s="8">
        <v>41396552.308558375</v>
      </c>
      <c r="J41" s="8">
        <v>41396552.308558375</v>
      </c>
      <c r="K41" s="55">
        <f t="shared" si="3"/>
        <v>100</v>
      </c>
      <c r="L41" s="56"/>
    </row>
    <row r="42" spans="1:12" ht="31.5" x14ac:dyDescent="0.25">
      <c r="A42" s="10"/>
      <c r="B42" s="6" t="s">
        <v>79</v>
      </c>
      <c r="C42" s="6" t="s">
        <v>134</v>
      </c>
      <c r="D42" s="6" t="s">
        <v>77</v>
      </c>
      <c r="E42" s="15"/>
      <c r="F42" s="7">
        <v>132996</v>
      </c>
      <c r="G42" s="7">
        <v>132996</v>
      </c>
      <c r="H42" s="23">
        <v>0</v>
      </c>
      <c r="I42" s="8">
        <v>11222187.014691288</v>
      </c>
      <c r="J42" s="8">
        <v>11222187.014691288</v>
      </c>
      <c r="K42" s="55">
        <f t="shared" si="3"/>
        <v>100</v>
      </c>
      <c r="L42" s="56"/>
    </row>
    <row r="43" spans="1:12" ht="31.5" x14ac:dyDescent="0.25">
      <c r="A43" s="10"/>
      <c r="B43" s="6" t="s">
        <v>80</v>
      </c>
      <c r="C43" s="6" t="s">
        <v>134</v>
      </c>
      <c r="D43" s="6" t="s">
        <v>77</v>
      </c>
      <c r="E43" s="15"/>
      <c r="F43" s="7">
        <v>153479</v>
      </c>
      <c r="G43" s="7">
        <v>153479</v>
      </c>
      <c r="H43" s="23">
        <v>0</v>
      </c>
      <c r="I43" s="8">
        <v>13493188.512487249</v>
      </c>
      <c r="J43" s="8">
        <v>13493188.512487249</v>
      </c>
      <c r="K43" s="55">
        <f t="shared" si="3"/>
        <v>100</v>
      </c>
      <c r="L43" s="56"/>
    </row>
    <row r="44" spans="1:12" ht="31.5" x14ac:dyDescent="0.25">
      <c r="A44" s="10"/>
      <c r="B44" s="6" t="s">
        <v>86</v>
      </c>
      <c r="C44" s="6" t="s">
        <v>134</v>
      </c>
      <c r="D44" s="6" t="s">
        <v>77</v>
      </c>
      <c r="E44" s="15"/>
      <c r="F44" s="7">
        <v>72130</v>
      </c>
      <c r="G44" s="7">
        <v>72130</v>
      </c>
      <c r="H44" s="23">
        <v>0</v>
      </c>
      <c r="I44" s="8">
        <v>5811184.4218802266</v>
      </c>
      <c r="J44" s="8">
        <v>5811184.4218802266</v>
      </c>
      <c r="K44" s="55">
        <f t="shared" si="3"/>
        <v>100</v>
      </c>
      <c r="L44" s="56"/>
    </row>
    <row r="45" spans="1:12" ht="31.5" x14ac:dyDescent="0.25">
      <c r="A45" s="10"/>
      <c r="B45" s="6" t="s">
        <v>82</v>
      </c>
      <c r="C45" s="6" t="s">
        <v>134</v>
      </c>
      <c r="D45" s="6" t="s">
        <v>77</v>
      </c>
      <c r="E45" s="15"/>
      <c r="F45" s="7">
        <v>7344</v>
      </c>
      <c r="G45" s="7">
        <v>7344</v>
      </c>
      <c r="H45" s="23">
        <v>0</v>
      </c>
      <c r="I45" s="8">
        <v>590511.05393856065</v>
      </c>
      <c r="J45" s="8">
        <v>590511.05393856065</v>
      </c>
      <c r="K45" s="55">
        <f t="shared" si="3"/>
        <v>100</v>
      </c>
      <c r="L45" s="56"/>
    </row>
    <row r="46" spans="1:12" ht="31.5" x14ac:dyDescent="0.25">
      <c r="A46" s="10"/>
      <c r="B46" s="6" t="s">
        <v>83</v>
      </c>
      <c r="C46" s="6" t="s">
        <v>134</v>
      </c>
      <c r="D46" s="6" t="s">
        <v>77</v>
      </c>
      <c r="E46" s="15"/>
      <c r="F46" s="7">
        <v>76580</v>
      </c>
      <c r="G46" s="7">
        <v>76580</v>
      </c>
      <c r="H46" s="23">
        <v>0</v>
      </c>
      <c r="I46" s="8">
        <v>6529917.4984443048</v>
      </c>
      <c r="J46" s="8">
        <v>6529917.4984443048</v>
      </c>
      <c r="K46" s="55">
        <f t="shared" si="3"/>
        <v>100</v>
      </c>
      <c r="L46" s="56"/>
    </row>
    <row r="47" spans="1:12" ht="26.25" customHeight="1" x14ac:dyDescent="0.25">
      <c r="A47" s="10"/>
      <c r="B47" s="6" t="s">
        <v>136</v>
      </c>
      <c r="C47" s="57" t="s">
        <v>73</v>
      </c>
      <c r="D47" s="58" t="s">
        <v>47</v>
      </c>
      <c r="E47" s="15">
        <v>50512</v>
      </c>
      <c r="F47" s="7">
        <v>69167</v>
      </c>
      <c r="G47" s="7">
        <v>68801</v>
      </c>
      <c r="H47" s="23">
        <v>16075698.66</v>
      </c>
      <c r="I47" s="8">
        <v>15679071.550000001</v>
      </c>
      <c r="J47" s="8">
        <v>15679071.550000001</v>
      </c>
      <c r="K47" s="55">
        <f t="shared" si="3"/>
        <v>100</v>
      </c>
      <c r="L47" s="56"/>
    </row>
    <row r="48" spans="1:12" ht="45" customHeight="1" x14ac:dyDescent="0.25">
      <c r="A48" s="10"/>
      <c r="B48" s="6" t="s">
        <v>137</v>
      </c>
      <c r="C48" s="57" t="s">
        <v>138</v>
      </c>
      <c r="D48" s="9" t="s">
        <v>10</v>
      </c>
      <c r="E48" s="15">
        <v>375</v>
      </c>
      <c r="F48" s="7">
        <v>354</v>
      </c>
      <c r="G48" s="7">
        <v>354</v>
      </c>
      <c r="H48" s="23">
        <v>6284233.5999999996</v>
      </c>
      <c r="I48" s="8">
        <v>6563330.4699999997</v>
      </c>
      <c r="J48" s="8">
        <v>6563330.4699999997</v>
      </c>
      <c r="K48" s="55">
        <f t="shared" si="3"/>
        <v>100</v>
      </c>
      <c r="L48" s="56"/>
    </row>
    <row r="49" spans="1:12" ht="34.5" customHeight="1" x14ac:dyDescent="0.25">
      <c r="A49" s="10"/>
      <c r="B49" s="6" t="s">
        <v>90</v>
      </c>
      <c r="C49" s="6" t="s">
        <v>76</v>
      </c>
      <c r="D49" s="6" t="s">
        <v>77</v>
      </c>
      <c r="E49" s="15">
        <v>4500</v>
      </c>
      <c r="F49" s="10">
        <v>4050</v>
      </c>
      <c r="G49" s="10">
        <v>3994</v>
      </c>
      <c r="H49" s="23">
        <v>2890433.02</v>
      </c>
      <c r="I49" s="8">
        <v>2269451.9</v>
      </c>
      <c r="J49" s="8">
        <v>2269451.9</v>
      </c>
      <c r="K49" s="55">
        <f t="shared" si="3"/>
        <v>100</v>
      </c>
      <c r="L49" s="56"/>
    </row>
    <row r="50" spans="1:12" ht="72.75" customHeight="1" x14ac:dyDescent="0.25">
      <c r="A50" s="10"/>
      <c r="B50" s="6" t="s">
        <v>139</v>
      </c>
      <c r="C50" s="59" t="s">
        <v>88</v>
      </c>
      <c r="D50" s="6" t="s">
        <v>8</v>
      </c>
      <c r="E50" s="15">
        <v>70</v>
      </c>
      <c r="F50" s="7">
        <v>70</v>
      </c>
      <c r="G50" s="7">
        <v>70</v>
      </c>
      <c r="H50" s="23">
        <v>945265.2</v>
      </c>
      <c r="I50" s="8">
        <v>889775.53</v>
      </c>
      <c r="J50" s="8">
        <v>889775.53</v>
      </c>
      <c r="K50" s="55">
        <f t="shared" si="3"/>
        <v>100</v>
      </c>
      <c r="L50" s="56"/>
    </row>
    <row r="51" spans="1:12" ht="72.75" customHeight="1" x14ac:dyDescent="0.25">
      <c r="A51" s="10"/>
      <c r="B51" s="6" t="s">
        <v>87</v>
      </c>
      <c r="C51" s="59" t="s">
        <v>88</v>
      </c>
      <c r="D51" s="6" t="s">
        <v>8</v>
      </c>
      <c r="E51" s="15">
        <v>1700</v>
      </c>
      <c r="F51" s="7">
        <v>1721</v>
      </c>
      <c r="G51" s="7">
        <v>1721</v>
      </c>
      <c r="H51" s="23">
        <v>4733156.8499999996</v>
      </c>
      <c r="I51" s="8">
        <v>3385550.75</v>
      </c>
      <c r="J51" s="8">
        <v>3385550.75</v>
      </c>
      <c r="K51" s="55">
        <f t="shared" si="3"/>
        <v>100</v>
      </c>
      <c r="L51" s="56"/>
    </row>
    <row r="52" spans="1:12" ht="29.25" customHeight="1" x14ac:dyDescent="0.25">
      <c r="A52" s="10"/>
      <c r="B52" s="6" t="s">
        <v>89</v>
      </c>
      <c r="C52" s="59" t="s">
        <v>53</v>
      </c>
      <c r="D52" s="6" t="s">
        <v>8</v>
      </c>
      <c r="E52" s="15">
        <v>1400</v>
      </c>
      <c r="F52" s="7">
        <v>1190</v>
      </c>
      <c r="G52" s="7">
        <v>1236</v>
      </c>
      <c r="H52" s="23">
        <v>3792832.49</v>
      </c>
      <c r="I52" s="8">
        <v>2683039.2200000002</v>
      </c>
      <c r="J52" s="8">
        <v>2683039.2200000002</v>
      </c>
      <c r="K52" s="55">
        <f t="shared" si="3"/>
        <v>100</v>
      </c>
      <c r="L52" s="56"/>
    </row>
    <row r="53" spans="1:12" ht="31.5" x14ac:dyDescent="0.25">
      <c r="A53" s="1" t="s">
        <v>14</v>
      </c>
      <c r="B53" s="2" t="s">
        <v>15</v>
      </c>
      <c r="C53" s="2"/>
      <c r="D53" s="2"/>
      <c r="E53" s="64"/>
      <c r="F53" s="2"/>
      <c r="G53" s="2"/>
      <c r="H53" s="3">
        <f>SUM(H54:H64)</f>
        <v>670782093.11000001</v>
      </c>
      <c r="I53" s="3">
        <f t="shared" ref="I53:J53" si="4">SUM(I54:I64)</f>
        <v>691459353.7299999</v>
      </c>
      <c r="J53" s="3">
        <f t="shared" si="4"/>
        <v>691459353.7299999</v>
      </c>
      <c r="K53" s="25">
        <f t="shared" si="3"/>
        <v>100</v>
      </c>
    </row>
    <row r="54" spans="1:12" ht="31.5" x14ac:dyDescent="0.25">
      <c r="A54" s="5" t="s">
        <v>14</v>
      </c>
      <c r="B54" s="14" t="s">
        <v>16</v>
      </c>
      <c r="C54" s="10" t="s">
        <v>17</v>
      </c>
      <c r="D54" s="17" t="s">
        <v>18</v>
      </c>
      <c r="E54" s="15" t="s">
        <v>140</v>
      </c>
      <c r="F54" s="7" t="s">
        <v>141</v>
      </c>
      <c r="G54" s="7" t="s">
        <v>142</v>
      </c>
      <c r="H54" s="15">
        <v>102595346.48999999</v>
      </c>
      <c r="I54" s="15">
        <v>86946652.379999995</v>
      </c>
      <c r="J54" s="15">
        <v>89581399.430000007</v>
      </c>
      <c r="K54" s="25">
        <f t="shared" si="3"/>
        <v>103.03030303971322</v>
      </c>
    </row>
    <row r="55" spans="1:12" ht="31.5" x14ac:dyDescent="0.25">
      <c r="A55" s="5" t="s">
        <v>14</v>
      </c>
      <c r="B55" s="14" t="s">
        <v>19</v>
      </c>
      <c r="C55" s="10" t="s">
        <v>17</v>
      </c>
      <c r="D55" s="17" t="s">
        <v>18</v>
      </c>
      <c r="E55" s="15" t="s">
        <v>143</v>
      </c>
      <c r="F55" s="7" t="s">
        <v>144</v>
      </c>
      <c r="G55" s="7" t="s">
        <v>145</v>
      </c>
      <c r="H55" s="15">
        <v>160469644.50999999</v>
      </c>
      <c r="I55" s="15">
        <v>176528051.80000001</v>
      </c>
      <c r="J55" s="15">
        <v>173893304.75</v>
      </c>
      <c r="K55" s="25">
        <f t="shared" si="3"/>
        <v>98.507462681916934</v>
      </c>
    </row>
    <row r="56" spans="1:12" ht="63" x14ac:dyDescent="0.25">
      <c r="A56" s="5" t="s">
        <v>14</v>
      </c>
      <c r="B56" s="14" t="s">
        <v>20</v>
      </c>
      <c r="C56" s="10" t="s">
        <v>21</v>
      </c>
      <c r="D56" s="17" t="s">
        <v>10</v>
      </c>
      <c r="E56" s="15">
        <v>804799</v>
      </c>
      <c r="F56" s="7">
        <v>804799</v>
      </c>
      <c r="G56" s="7">
        <v>987021</v>
      </c>
      <c r="H56" s="15">
        <v>98083751.109999999</v>
      </c>
      <c r="I56" s="15">
        <v>103660950.76000001</v>
      </c>
      <c r="J56" s="15">
        <v>103660950.76000001</v>
      </c>
      <c r="K56" s="25">
        <f t="shared" si="3"/>
        <v>100</v>
      </c>
    </row>
    <row r="57" spans="1:12" ht="31.5" x14ac:dyDescent="0.25">
      <c r="A57" s="5" t="s">
        <v>14</v>
      </c>
      <c r="B57" s="14" t="s">
        <v>22</v>
      </c>
      <c r="C57" s="10" t="s">
        <v>23</v>
      </c>
      <c r="D57" s="17" t="s">
        <v>24</v>
      </c>
      <c r="E57" s="15">
        <v>265000</v>
      </c>
      <c r="F57" s="7">
        <v>188460</v>
      </c>
      <c r="G57" s="7">
        <v>188672</v>
      </c>
      <c r="H57" s="15">
        <v>72520467</v>
      </c>
      <c r="I57" s="15">
        <v>77042601.579999998</v>
      </c>
      <c r="J57" s="15">
        <v>77042601.579999998</v>
      </c>
      <c r="K57" s="25">
        <f t="shared" si="3"/>
        <v>100</v>
      </c>
    </row>
    <row r="58" spans="1:12" ht="31.5" x14ac:dyDescent="0.25">
      <c r="A58" s="5" t="s">
        <v>14</v>
      </c>
      <c r="B58" s="14" t="s">
        <v>25</v>
      </c>
      <c r="C58" s="10" t="s">
        <v>26</v>
      </c>
      <c r="D58" s="17" t="s">
        <v>10</v>
      </c>
      <c r="E58" s="15">
        <v>3931</v>
      </c>
      <c r="F58" s="7">
        <v>3937</v>
      </c>
      <c r="G58" s="7">
        <v>4638</v>
      </c>
      <c r="H58" s="15">
        <v>44689791.609999999</v>
      </c>
      <c r="I58" s="15">
        <v>46822418.009999998</v>
      </c>
      <c r="J58" s="15">
        <v>46822418.009999998</v>
      </c>
      <c r="K58" s="25">
        <f t="shared" si="3"/>
        <v>100</v>
      </c>
    </row>
    <row r="59" spans="1:12" ht="31.5" x14ac:dyDescent="0.25">
      <c r="A59" s="5" t="s">
        <v>14</v>
      </c>
      <c r="B59" s="14" t="s">
        <v>27</v>
      </c>
      <c r="C59" s="10" t="s">
        <v>28</v>
      </c>
      <c r="D59" s="17" t="s">
        <v>10</v>
      </c>
      <c r="E59" s="15">
        <v>240</v>
      </c>
      <c r="F59" s="7">
        <v>252</v>
      </c>
      <c r="G59" s="7">
        <v>303</v>
      </c>
      <c r="H59" s="15">
        <v>104905614.09999999</v>
      </c>
      <c r="I59" s="15">
        <v>109911779.37</v>
      </c>
      <c r="J59" s="15">
        <v>109911779.37</v>
      </c>
      <c r="K59" s="25">
        <f t="shared" si="3"/>
        <v>100</v>
      </c>
    </row>
    <row r="60" spans="1:12" x14ac:dyDescent="0.25">
      <c r="A60" s="5" t="s">
        <v>14</v>
      </c>
      <c r="B60" s="14" t="s">
        <v>29</v>
      </c>
      <c r="C60" s="10" t="s">
        <v>23</v>
      </c>
      <c r="D60" s="17" t="s">
        <v>24</v>
      </c>
      <c r="E60" s="15">
        <v>4000</v>
      </c>
      <c r="F60" s="7">
        <v>4000</v>
      </c>
      <c r="G60" s="7">
        <v>4000</v>
      </c>
      <c r="H60" s="15">
        <v>269757.28999999998</v>
      </c>
      <c r="I60" s="15">
        <v>282630.28999999998</v>
      </c>
      <c r="J60" s="15">
        <v>282630.28999999998</v>
      </c>
      <c r="K60" s="25">
        <f t="shared" si="3"/>
        <v>100</v>
      </c>
    </row>
    <row r="61" spans="1:12" ht="31.5" x14ac:dyDescent="0.25">
      <c r="A61" s="5" t="s">
        <v>14</v>
      </c>
      <c r="B61" s="14" t="s">
        <v>30</v>
      </c>
      <c r="C61" s="10" t="s">
        <v>31</v>
      </c>
      <c r="D61" s="17" t="s">
        <v>10</v>
      </c>
      <c r="E61" s="15">
        <v>44</v>
      </c>
      <c r="F61" s="7">
        <v>44</v>
      </c>
      <c r="G61" s="7">
        <v>44</v>
      </c>
      <c r="H61" s="15">
        <v>2214391</v>
      </c>
      <c r="I61" s="15">
        <v>2981350.4</v>
      </c>
      <c r="J61" s="15">
        <v>2981350.4</v>
      </c>
      <c r="K61" s="25">
        <f t="shared" si="3"/>
        <v>100</v>
      </c>
    </row>
    <row r="62" spans="1:12" ht="31.5" x14ac:dyDescent="0.25">
      <c r="A62" s="5" t="s">
        <v>14</v>
      </c>
      <c r="B62" s="14" t="s">
        <v>25</v>
      </c>
      <c r="C62" s="10" t="s">
        <v>32</v>
      </c>
      <c r="D62" s="17" t="s">
        <v>8</v>
      </c>
      <c r="E62" s="15">
        <v>700000</v>
      </c>
      <c r="F62" s="7">
        <v>700000</v>
      </c>
      <c r="G62" s="7">
        <v>700013</v>
      </c>
      <c r="H62" s="15">
        <v>25101509</v>
      </c>
      <c r="I62" s="15">
        <v>27336467.66</v>
      </c>
      <c r="J62" s="15">
        <v>27336467.66</v>
      </c>
      <c r="K62" s="25">
        <f t="shared" si="3"/>
        <v>100</v>
      </c>
    </row>
    <row r="63" spans="1:12" ht="78.75" x14ac:dyDescent="0.25">
      <c r="A63" s="5" t="s">
        <v>14</v>
      </c>
      <c r="B63" s="14" t="s">
        <v>33</v>
      </c>
      <c r="C63" s="10" t="s">
        <v>34</v>
      </c>
      <c r="D63" s="17" t="s">
        <v>10</v>
      </c>
      <c r="E63" s="15">
        <v>2900</v>
      </c>
      <c r="F63" s="7">
        <v>2900</v>
      </c>
      <c r="G63" s="7">
        <v>3473</v>
      </c>
      <c r="H63" s="15">
        <v>10618161</v>
      </c>
      <c r="I63" s="15">
        <v>10618161</v>
      </c>
      <c r="J63" s="15">
        <v>10618161</v>
      </c>
      <c r="K63" s="25">
        <f t="shared" si="3"/>
        <v>100</v>
      </c>
    </row>
    <row r="64" spans="1:12" ht="47.25" x14ac:dyDescent="0.25">
      <c r="A64" s="5" t="s">
        <v>14</v>
      </c>
      <c r="B64" s="14" t="s">
        <v>35</v>
      </c>
      <c r="C64" s="10" t="s">
        <v>36</v>
      </c>
      <c r="D64" s="17" t="s">
        <v>37</v>
      </c>
      <c r="E64" s="15">
        <v>559.35500000000002</v>
      </c>
      <c r="F64" s="18">
        <v>541.21900000000005</v>
      </c>
      <c r="G64" s="18">
        <v>541.21900000000005</v>
      </c>
      <c r="H64" s="15">
        <v>49313660</v>
      </c>
      <c r="I64" s="15">
        <v>49328290.479999997</v>
      </c>
      <c r="J64" s="15">
        <v>49328290.479999997</v>
      </c>
      <c r="K64" s="25">
        <f t="shared" si="3"/>
        <v>100</v>
      </c>
    </row>
    <row r="65" spans="1:12" ht="31.5" x14ac:dyDescent="0.25">
      <c r="A65" s="1" t="s">
        <v>93</v>
      </c>
      <c r="B65" s="2" t="s">
        <v>94</v>
      </c>
      <c r="C65" s="2"/>
      <c r="D65" s="2"/>
      <c r="E65" s="64"/>
      <c r="F65" s="2"/>
      <c r="G65" s="2"/>
      <c r="H65" s="3">
        <f>H66+H72+H75+H76</f>
        <v>440551316.56</v>
      </c>
      <c r="I65" s="3">
        <f t="shared" ref="I65:J65" si="5">I66+I72+I75+I76</f>
        <v>489409567.69999999</v>
      </c>
      <c r="J65" s="3">
        <f t="shared" si="5"/>
        <v>489409567.69999999</v>
      </c>
      <c r="K65" s="25">
        <f t="shared" ref="K65:K181" si="6">J65/I65*100</f>
        <v>100</v>
      </c>
    </row>
    <row r="66" spans="1:12" ht="47.25" x14ac:dyDescent="0.25">
      <c r="A66" s="80" t="s">
        <v>93</v>
      </c>
      <c r="B66" s="82" t="s">
        <v>102</v>
      </c>
      <c r="C66" s="35" t="s">
        <v>103</v>
      </c>
      <c r="D66" s="36" t="s">
        <v>104</v>
      </c>
      <c r="E66" s="44" t="s">
        <v>130</v>
      </c>
      <c r="F66" s="37" t="s">
        <v>131</v>
      </c>
      <c r="G66" s="37" t="s">
        <v>131</v>
      </c>
      <c r="H66" s="74">
        <v>401262705.56</v>
      </c>
      <c r="I66" s="74">
        <v>448142373.37</v>
      </c>
      <c r="J66" s="74">
        <v>448142373.37</v>
      </c>
      <c r="K66" s="77">
        <f t="shared" si="6"/>
        <v>100</v>
      </c>
      <c r="L66" s="38"/>
    </row>
    <row r="67" spans="1:12" ht="78.75" x14ac:dyDescent="0.25">
      <c r="A67" s="75"/>
      <c r="B67" s="86"/>
      <c r="C67" s="35" t="s">
        <v>105</v>
      </c>
      <c r="D67" s="36" t="s">
        <v>106</v>
      </c>
      <c r="E67" s="44" t="s">
        <v>107</v>
      </c>
      <c r="F67" s="37" t="s">
        <v>132</v>
      </c>
      <c r="G67" s="37" t="s">
        <v>132</v>
      </c>
      <c r="H67" s="75"/>
      <c r="I67" s="75"/>
      <c r="J67" s="75"/>
      <c r="K67" s="78" t="e">
        <f t="shared" si="6"/>
        <v>#DIV/0!</v>
      </c>
      <c r="L67" s="38"/>
    </row>
    <row r="68" spans="1:12" ht="31.5" x14ac:dyDescent="0.25">
      <c r="A68" s="75"/>
      <c r="B68" s="86"/>
      <c r="C68" s="35" t="s">
        <v>108</v>
      </c>
      <c r="D68" s="36" t="s">
        <v>49</v>
      </c>
      <c r="E68" s="44">
        <v>616</v>
      </c>
      <c r="F68" s="37">
        <v>627</v>
      </c>
      <c r="G68" s="37">
        <v>627</v>
      </c>
      <c r="H68" s="75"/>
      <c r="I68" s="75"/>
      <c r="J68" s="75"/>
      <c r="K68" s="78" t="e">
        <f t="shared" si="6"/>
        <v>#DIV/0!</v>
      </c>
      <c r="L68" s="38"/>
    </row>
    <row r="69" spans="1:12" ht="31.5" x14ac:dyDescent="0.25">
      <c r="A69" s="75"/>
      <c r="B69" s="86"/>
      <c r="C69" s="35" t="s">
        <v>109</v>
      </c>
      <c r="D69" s="36" t="s">
        <v>49</v>
      </c>
      <c r="E69" s="44">
        <v>167</v>
      </c>
      <c r="F69" s="37">
        <v>207</v>
      </c>
      <c r="G69" s="37">
        <v>207</v>
      </c>
      <c r="H69" s="75"/>
      <c r="I69" s="75"/>
      <c r="J69" s="75"/>
      <c r="K69" s="78" t="e">
        <f t="shared" si="6"/>
        <v>#DIV/0!</v>
      </c>
      <c r="L69" s="38"/>
    </row>
    <row r="70" spans="1:12" ht="31.5" x14ac:dyDescent="0.25">
      <c r="A70" s="75"/>
      <c r="B70" s="86"/>
      <c r="C70" s="35" t="s">
        <v>110</v>
      </c>
      <c r="D70" s="36" t="s">
        <v>49</v>
      </c>
      <c r="E70" s="44">
        <v>7523</v>
      </c>
      <c r="F70" s="37">
        <v>8545</v>
      </c>
      <c r="G70" s="37">
        <v>8545</v>
      </c>
      <c r="H70" s="75"/>
      <c r="I70" s="75"/>
      <c r="J70" s="75"/>
      <c r="K70" s="78" t="e">
        <f t="shared" si="6"/>
        <v>#DIV/0!</v>
      </c>
      <c r="L70" s="38"/>
    </row>
    <row r="71" spans="1:12" ht="31.5" x14ac:dyDescent="0.25">
      <c r="A71" s="76"/>
      <c r="B71" s="84"/>
      <c r="C71" s="35" t="s">
        <v>111</v>
      </c>
      <c r="D71" s="36" t="s">
        <v>112</v>
      </c>
      <c r="E71" s="44">
        <v>38000</v>
      </c>
      <c r="F71" s="37">
        <v>38000</v>
      </c>
      <c r="G71" s="37">
        <v>38000</v>
      </c>
      <c r="H71" s="76"/>
      <c r="I71" s="76"/>
      <c r="J71" s="76"/>
      <c r="K71" s="79" t="e">
        <f t="shared" si="6"/>
        <v>#DIV/0!</v>
      </c>
      <c r="L71" s="38"/>
    </row>
    <row r="72" spans="1:12" ht="31.5" x14ac:dyDescent="0.25">
      <c r="A72" s="80" t="s">
        <v>93</v>
      </c>
      <c r="B72" s="82" t="s">
        <v>113</v>
      </c>
      <c r="C72" s="35" t="s">
        <v>114</v>
      </c>
      <c r="D72" s="36" t="s">
        <v>115</v>
      </c>
      <c r="E72" s="44">
        <v>544.26499999999999</v>
      </c>
      <c r="F72" s="39">
        <v>544.26499999999999</v>
      </c>
      <c r="G72" s="39">
        <v>544.26499999999999</v>
      </c>
      <c r="H72" s="74">
        <v>30487450</v>
      </c>
      <c r="I72" s="74">
        <v>30487450</v>
      </c>
      <c r="J72" s="74">
        <v>30487450</v>
      </c>
      <c r="K72" s="85">
        <f>J72/I72*100</f>
        <v>100</v>
      </c>
      <c r="L72" s="38"/>
    </row>
    <row r="73" spans="1:12" ht="31.5" x14ac:dyDescent="0.25">
      <c r="A73" s="81"/>
      <c r="B73" s="83"/>
      <c r="C73" s="35" t="s">
        <v>116</v>
      </c>
      <c r="D73" s="36" t="s">
        <v>49</v>
      </c>
      <c r="E73" s="44" t="s">
        <v>117</v>
      </c>
      <c r="F73" s="39" t="s">
        <v>117</v>
      </c>
      <c r="G73" s="39" t="s">
        <v>117</v>
      </c>
      <c r="H73" s="75"/>
      <c r="I73" s="75"/>
      <c r="J73" s="75"/>
      <c r="K73" s="78"/>
      <c r="L73" s="38"/>
    </row>
    <row r="74" spans="1:12" x14ac:dyDescent="0.25">
      <c r="A74" s="76"/>
      <c r="B74" s="84"/>
      <c r="C74" s="35" t="s">
        <v>118</v>
      </c>
      <c r="D74" s="36" t="s">
        <v>49</v>
      </c>
      <c r="E74" s="44">
        <v>15694</v>
      </c>
      <c r="F74" s="37">
        <v>15694</v>
      </c>
      <c r="G74" s="37">
        <v>15694</v>
      </c>
      <c r="H74" s="76"/>
      <c r="I74" s="76"/>
      <c r="J74" s="76"/>
      <c r="K74" s="79"/>
      <c r="L74" s="38"/>
    </row>
    <row r="75" spans="1:12" ht="30.75" customHeight="1" x14ac:dyDescent="0.25">
      <c r="A75" s="46" t="s">
        <v>93</v>
      </c>
      <c r="B75" s="40" t="s">
        <v>119</v>
      </c>
      <c r="C75" s="35" t="s">
        <v>120</v>
      </c>
      <c r="D75" s="36" t="s">
        <v>121</v>
      </c>
      <c r="E75" s="44">
        <v>1244.21</v>
      </c>
      <c r="F75" s="39" t="s">
        <v>133</v>
      </c>
      <c r="G75" s="39" t="s">
        <v>133</v>
      </c>
      <c r="H75" s="41">
        <v>5616669</v>
      </c>
      <c r="I75" s="41">
        <v>5616669</v>
      </c>
      <c r="J75" s="41">
        <v>5616669</v>
      </c>
      <c r="K75" s="42">
        <f t="shared" si="6"/>
        <v>100</v>
      </c>
      <c r="L75" s="38"/>
    </row>
    <row r="76" spans="1:12" ht="40.5" customHeight="1" x14ac:dyDescent="0.25">
      <c r="A76" s="39" t="s">
        <v>93</v>
      </c>
      <c r="B76" s="43" t="s">
        <v>122</v>
      </c>
      <c r="C76" s="35" t="s">
        <v>123</v>
      </c>
      <c r="D76" s="36" t="s">
        <v>121</v>
      </c>
      <c r="E76" s="44">
        <v>713794</v>
      </c>
      <c r="F76" s="37">
        <v>730653</v>
      </c>
      <c r="G76" s="37">
        <v>730653</v>
      </c>
      <c r="H76" s="44">
        <v>3184492</v>
      </c>
      <c r="I76" s="44">
        <v>5163075.33</v>
      </c>
      <c r="J76" s="44">
        <v>5163075.33</v>
      </c>
      <c r="K76" s="45">
        <f t="shared" si="6"/>
        <v>100</v>
      </c>
      <c r="L76" s="38"/>
    </row>
    <row r="77" spans="1:12" ht="31.5" x14ac:dyDescent="0.25">
      <c r="A77" s="1" t="s">
        <v>11</v>
      </c>
      <c r="B77" s="2" t="s">
        <v>12</v>
      </c>
      <c r="C77" s="2"/>
      <c r="D77" s="2"/>
      <c r="E77" s="64"/>
      <c r="F77" s="2"/>
      <c r="G77" s="2"/>
      <c r="H77" s="3">
        <f>SUM(H78:H79)</f>
        <v>3170196.17</v>
      </c>
      <c r="I77" s="3">
        <f t="shared" ref="I77:J77" si="7">SUM(I78:I79)</f>
        <v>2851626.17</v>
      </c>
      <c r="J77" s="3">
        <f t="shared" si="7"/>
        <v>2851626.17</v>
      </c>
      <c r="K77" s="25">
        <f t="shared" si="6"/>
        <v>100</v>
      </c>
    </row>
    <row r="78" spans="1:12" s="49" customFormat="1" ht="85.5" x14ac:dyDescent="0.25">
      <c r="A78" s="47"/>
      <c r="B78" s="51" t="s">
        <v>146</v>
      </c>
      <c r="C78" s="50" t="s">
        <v>147</v>
      </c>
      <c r="D78" s="52" t="s">
        <v>49</v>
      </c>
      <c r="E78" s="53">
        <v>150</v>
      </c>
      <c r="F78" s="48">
        <v>150</v>
      </c>
      <c r="G78" s="48">
        <v>150</v>
      </c>
      <c r="H78" s="53">
        <v>2710842.76</v>
      </c>
      <c r="I78" s="53">
        <v>2556757.91</v>
      </c>
      <c r="J78" s="53">
        <v>2556757.91</v>
      </c>
      <c r="K78" s="54">
        <f t="shared" si="6"/>
        <v>100</v>
      </c>
    </row>
    <row r="79" spans="1:12" s="49" customFormat="1" ht="57" x14ac:dyDescent="0.25">
      <c r="A79" s="47"/>
      <c r="B79" s="51" t="s">
        <v>148</v>
      </c>
      <c r="C79" s="50" t="s">
        <v>147</v>
      </c>
      <c r="D79" s="52" t="s">
        <v>149</v>
      </c>
      <c r="E79" s="53">
        <v>150</v>
      </c>
      <c r="F79" s="48">
        <v>150</v>
      </c>
      <c r="G79" s="48">
        <v>150</v>
      </c>
      <c r="H79" s="53">
        <v>459353.41</v>
      </c>
      <c r="I79" s="53">
        <v>294868.26</v>
      </c>
      <c r="J79" s="53">
        <v>294868.26</v>
      </c>
      <c r="K79" s="54">
        <f t="shared" si="6"/>
        <v>100</v>
      </c>
    </row>
    <row r="80" spans="1:12" ht="31.5" x14ac:dyDescent="0.25">
      <c r="A80" s="1" t="s">
        <v>38</v>
      </c>
      <c r="B80" s="2" t="s">
        <v>39</v>
      </c>
      <c r="C80" s="2"/>
      <c r="D80" s="2"/>
      <c r="E80" s="64"/>
      <c r="F80" s="2"/>
      <c r="G80" s="2"/>
      <c r="H80" s="3">
        <f>H81+H132+H176+H179+H180</f>
        <v>278611335.25999999</v>
      </c>
      <c r="I80" s="3">
        <f>I81+I132+I176+I179+I180</f>
        <v>287725148.13999993</v>
      </c>
      <c r="J80" s="3">
        <f>J81+J132+J176+J179+J180</f>
        <v>287725148.13999993</v>
      </c>
      <c r="K80" s="25">
        <f t="shared" si="6"/>
        <v>100</v>
      </c>
      <c r="L80" s="72" t="s">
        <v>246</v>
      </c>
    </row>
    <row r="81" spans="1:12" ht="47.25" x14ac:dyDescent="0.25">
      <c r="A81" s="30" t="s">
        <v>38</v>
      </c>
      <c r="B81" s="32" t="s">
        <v>40</v>
      </c>
      <c r="C81" s="28" t="s">
        <v>41</v>
      </c>
      <c r="D81" s="33" t="s">
        <v>8</v>
      </c>
      <c r="E81" s="29">
        <f>SUM(E82:E131)</f>
        <v>4176</v>
      </c>
      <c r="F81" s="29">
        <f t="shared" ref="F81:G81" si="8">SUM(F82:F131)</f>
        <v>4109</v>
      </c>
      <c r="G81" s="29">
        <f t="shared" si="8"/>
        <v>4109</v>
      </c>
      <c r="H81" s="29">
        <f t="shared" ref="H81" si="9">SUM(H82:H131)</f>
        <v>151203111.04000002</v>
      </c>
      <c r="I81" s="29">
        <f t="shared" ref="I81" si="10">SUM(I82:I131)</f>
        <v>158049292.92999992</v>
      </c>
      <c r="J81" s="29">
        <f t="shared" ref="J81" si="11">SUM(J82:J131)</f>
        <v>158049292.92999992</v>
      </c>
      <c r="K81" s="68">
        <f t="shared" si="6"/>
        <v>100</v>
      </c>
      <c r="L81" s="73"/>
    </row>
    <row r="82" spans="1:12" s="49" customFormat="1" ht="39.75" customHeight="1" x14ac:dyDescent="0.25">
      <c r="A82" s="47" t="s">
        <v>245</v>
      </c>
      <c r="B82" s="51" t="s">
        <v>150</v>
      </c>
      <c r="C82" s="50" t="s">
        <v>41</v>
      </c>
      <c r="D82" s="60" t="s">
        <v>8</v>
      </c>
      <c r="E82" s="53">
        <f>187+106</f>
        <v>293</v>
      </c>
      <c r="F82" s="52">
        <f>187+106</f>
        <v>293</v>
      </c>
      <c r="G82" s="52">
        <f>187+106</f>
        <v>293</v>
      </c>
      <c r="H82" s="61">
        <f>4822499.99+3434863.22</f>
        <v>8257363.2100000009</v>
      </c>
      <c r="I82" s="61">
        <f>4943111.25+3386948.04</f>
        <v>8330059.29</v>
      </c>
      <c r="J82" s="61">
        <f>4943111.25+3386948.04</f>
        <v>8330059.29</v>
      </c>
      <c r="K82" s="69">
        <f t="shared" si="6"/>
        <v>100</v>
      </c>
      <c r="L82" s="73"/>
    </row>
    <row r="83" spans="1:12" s="49" customFormat="1" ht="42.75" x14ac:dyDescent="0.25">
      <c r="A83" s="47"/>
      <c r="B83" s="51" t="s">
        <v>151</v>
      </c>
      <c r="C83" s="50" t="s">
        <v>41</v>
      </c>
      <c r="D83" s="60" t="s">
        <v>8</v>
      </c>
      <c r="E83" s="53">
        <f>79+84</f>
        <v>163</v>
      </c>
      <c r="F83" s="52">
        <f>79+84</f>
        <v>163</v>
      </c>
      <c r="G83" s="52">
        <f>79+84</f>
        <v>163</v>
      </c>
      <c r="H83" s="61">
        <f>3125855.41+5077314.48</f>
        <v>8203169.8900000006</v>
      </c>
      <c r="I83" s="61">
        <f>3176808.83+4911653.04</f>
        <v>8088461.8700000001</v>
      </c>
      <c r="J83" s="61">
        <f>3176808.83+4911653.04</f>
        <v>8088461.8700000001</v>
      </c>
      <c r="K83" s="69">
        <f t="shared" si="6"/>
        <v>100</v>
      </c>
      <c r="L83" s="73"/>
    </row>
    <row r="84" spans="1:12" s="49" customFormat="1" ht="42.75" x14ac:dyDescent="0.25">
      <c r="A84" s="47"/>
      <c r="B84" s="51" t="s">
        <v>152</v>
      </c>
      <c r="C84" s="50" t="s">
        <v>41</v>
      </c>
      <c r="D84" s="60" t="s">
        <v>8</v>
      </c>
      <c r="E84" s="53">
        <f>40+6</f>
        <v>46</v>
      </c>
      <c r="F84" s="52">
        <f>40+6</f>
        <v>46</v>
      </c>
      <c r="G84" s="52">
        <f>40+6</f>
        <v>46</v>
      </c>
      <c r="H84" s="61">
        <f>2368035.2+646126.8</f>
        <v>3014162</v>
      </c>
      <c r="I84" s="61">
        <f>2393834.8+760272.42</f>
        <v>3154107.2199999997</v>
      </c>
      <c r="J84" s="61">
        <f>2393834.8+760272.42</f>
        <v>3154107.2199999997</v>
      </c>
      <c r="K84" s="69">
        <f t="shared" si="6"/>
        <v>100</v>
      </c>
      <c r="L84" s="73"/>
    </row>
    <row r="85" spans="1:12" s="49" customFormat="1" ht="42.75" x14ac:dyDescent="0.25">
      <c r="A85" s="47"/>
      <c r="B85" s="51" t="s">
        <v>153</v>
      </c>
      <c r="C85" s="50" t="s">
        <v>41</v>
      </c>
      <c r="D85" s="60" t="s">
        <v>8</v>
      </c>
      <c r="E85" s="53">
        <v>1</v>
      </c>
      <c r="F85" s="52">
        <v>1</v>
      </c>
      <c r="G85" s="52">
        <v>1</v>
      </c>
      <c r="H85" s="62">
        <v>141356</v>
      </c>
      <c r="I85" s="62">
        <v>221320.2</v>
      </c>
      <c r="J85" s="62">
        <v>221320.2</v>
      </c>
      <c r="K85" s="69">
        <f t="shared" si="6"/>
        <v>100</v>
      </c>
    </row>
    <row r="86" spans="1:12" s="49" customFormat="1" ht="42.75" x14ac:dyDescent="0.25">
      <c r="A86" s="47"/>
      <c r="B86" s="63" t="s">
        <v>154</v>
      </c>
      <c r="C86" s="50" t="s">
        <v>41</v>
      </c>
      <c r="D86" s="60" t="s">
        <v>8</v>
      </c>
      <c r="E86" s="53">
        <v>146</v>
      </c>
      <c r="F86" s="52">
        <v>146</v>
      </c>
      <c r="G86" s="52">
        <v>146</v>
      </c>
      <c r="H86" s="62">
        <f>1157882.88+3250259.58</f>
        <v>4408142.46</v>
      </c>
      <c r="I86" s="62">
        <f>1186261.56+3314832.72</f>
        <v>4501094.28</v>
      </c>
      <c r="J86" s="62">
        <f>1186261.56+3314832.72</f>
        <v>4501094.28</v>
      </c>
      <c r="K86" s="69">
        <f t="shared" si="6"/>
        <v>100</v>
      </c>
    </row>
    <row r="87" spans="1:12" s="49" customFormat="1" ht="42.75" x14ac:dyDescent="0.25">
      <c r="A87" s="47"/>
      <c r="B87" s="63" t="s">
        <v>155</v>
      </c>
      <c r="C87" s="50" t="s">
        <v>41</v>
      </c>
      <c r="D87" s="60" t="s">
        <v>8</v>
      </c>
      <c r="E87" s="53">
        <f>35+64</f>
        <v>99</v>
      </c>
      <c r="F87" s="52">
        <f>35+64</f>
        <v>99</v>
      </c>
      <c r="G87" s="52">
        <f>35+64</f>
        <v>99</v>
      </c>
      <c r="H87" s="61">
        <f>1346322.25+2339169.92</f>
        <v>3685492.17</v>
      </c>
      <c r="I87" s="61">
        <f>1368896.55+2379685.76</f>
        <v>3748582.3099999996</v>
      </c>
      <c r="J87" s="61">
        <f>1368896.55+2379685.76</f>
        <v>3748582.3099999996</v>
      </c>
      <c r="K87" s="69">
        <f t="shared" si="6"/>
        <v>100</v>
      </c>
    </row>
    <row r="88" spans="1:12" s="49" customFormat="1" ht="42.75" x14ac:dyDescent="0.25">
      <c r="A88" s="47"/>
      <c r="B88" s="63" t="s">
        <v>156</v>
      </c>
      <c r="C88" s="50" t="s">
        <v>41</v>
      </c>
      <c r="D88" s="60" t="s">
        <v>8</v>
      </c>
      <c r="E88" s="53">
        <f>10+13</f>
        <v>23</v>
      </c>
      <c r="F88" s="52">
        <f>10+13</f>
        <v>23</v>
      </c>
      <c r="G88" s="52">
        <f>10+13</f>
        <v>23</v>
      </c>
      <c r="H88" s="61">
        <f>576287.4+626885.48</f>
        <v>1203172.8799999999</v>
      </c>
      <c r="I88" s="61">
        <f>582737.2+635115.39</f>
        <v>1217852.5899999999</v>
      </c>
      <c r="J88" s="61">
        <f>582737.2+635115.39</f>
        <v>1217852.5899999999</v>
      </c>
      <c r="K88" s="69">
        <f t="shared" si="6"/>
        <v>100</v>
      </c>
    </row>
    <row r="89" spans="1:12" s="49" customFormat="1" ht="42.75" x14ac:dyDescent="0.25">
      <c r="A89" s="47"/>
      <c r="B89" s="63" t="s">
        <v>157</v>
      </c>
      <c r="C89" s="50" t="s">
        <v>41</v>
      </c>
      <c r="D89" s="60" t="s">
        <v>8</v>
      </c>
      <c r="E89" s="53">
        <f>2</f>
        <v>2</v>
      </c>
      <c r="F89" s="52">
        <f>2</f>
        <v>2</v>
      </c>
      <c r="G89" s="52">
        <f>2</f>
        <v>2</v>
      </c>
      <c r="H89" s="61">
        <f>121345.12</f>
        <v>121345.12</v>
      </c>
      <c r="I89" s="61">
        <f>122611.26</f>
        <v>122611.26</v>
      </c>
      <c r="J89" s="61">
        <f>122611.26</f>
        <v>122611.26</v>
      </c>
      <c r="K89" s="69">
        <f t="shared" si="6"/>
        <v>100</v>
      </c>
    </row>
    <row r="90" spans="1:12" s="49" customFormat="1" ht="42.75" x14ac:dyDescent="0.25">
      <c r="A90" s="47"/>
      <c r="B90" s="51" t="s">
        <v>158</v>
      </c>
      <c r="C90" s="50" t="s">
        <v>41</v>
      </c>
      <c r="D90" s="60" t="s">
        <v>8</v>
      </c>
      <c r="E90" s="53">
        <f>28+18+12+45+27</f>
        <v>130</v>
      </c>
      <c r="F90" s="52">
        <f>28+31+12+52+27+11</f>
        <v>161</v>
      </c>
      <c r="G90" s="52">
        <f>28+31+12+52+27+11</f>
        <v>161</v>
      </c>
      <c r="H90" s="61">
        <f>931875+321107.22+246670.68+1625810.85+801894.9</f>
        <v>3927358.65</v>
      </c>
      <c r="I90" s="61">
        <f>949600.68+662795.81+258896.4+1688105.64+842961.33+114040.96</f>
        <v>4516400.82</v>
      </c>
      <c r="J90" s="61">
        <f>949600.68+662795.81+258896.4+1688105.64+842961.33+114040.96</f>
        <v>4516400.82</v>
      </c>
      <c r="K90" s="69">
        <f t="shared" si="6"/>
        <v>100</v>
      </c>
    </row>
    <row r="91" spans="1:12" s="49" customFormat="1" ht="42.75" x14ac:dyDescent="0.25">
      <c r="A91" s="47"/>
      <c r="B91" s="51" t="s">
        <v>159</v>
      </c>
      <c r="C91" s="50" t="s">
        <v>41</v>
      </c>
      <c r="D91" s="60" t="s">
        <v>8</v>
      </c>
      <c r="E91" s="53">
        <f>37+8+10+32+25</f>
        <v>112</v>
      </c>
      <c r="F91" s="52">
        <f>37+20+10+25+25</f>
        <v>117</v>
      </c>
      <c r="G91" s="52">
        <f>37+20+10+25+25</f>
        <v>117</v>
      </c>
      <c r="H91" s="61">
        <f>1323540.69+457911.36+266856.4+2001855.68+886076.28</f>
        <v>4936240.41</v>
      </c>
      <c r="I91" s="61">
        <f>1346963.91+1029983.4+277044.6+1592590.75+958577</f>
        <v>5205159.66</v>
      </c>
      <c r="J91" s="61">
        <f>1346963.91+1029983.4+277044.6+1592590.75+958577</f>
        <v>5205159.66</v>
      </c>
      <c r="K91" s="69">
        <f t="shared" si="6"/>
        <v>100</v>
      </c>
    </row>
    <row r="92" spans="1:12" s="49" customFormat="1" ht="42.75" x14ac:dyDescent="0.25">
      <c r="A92" s="47"/>
      <c r="B92" s="51" t="s">
        <v>160</v>
      </c>
      <c r="C92" s="50" t="s">
        <v>41</v>
      </c>
      <c r="D92" s="60" t="s">
        <v>8</v>
      </c>
      <c r="E92" s="53">
        <f>9+11+7+9</f>
        <v>36</v>
      </c>
      <c r="F92" s="52">
        <f>9+5+7+9+5</f>
        <v>35</v>
      </c>
      <c r="G92" s="52">
        <f>9+5+7+9+5</f>
        <v>35</v>
      </c>
      <c r="H92" s="61">
        <f>433997.73+1040627.5+513769.69+929612.97</f>
        <v>2918007.8899999997</v>
      </c>
      <c r="I92" s="61">
        <f>439695.18+603906.05+520901.43+949604.85+242834.4</f>
        <v>2756941.9099999997</v>
      </c>
      <c r="J92" s="61">
        <f>439695.18+603906.05+520901.43+949604.85+242834.4</f>
        <v>2756941.9099999997</v>
      </c>
      <c r="K92" s="69">
        <f t="shared" si="6"/>
        <v>100</v>
      </c>
    </row>
    <row r="93" spans="1:12" s="49" customFormat="1" ht="42.75" x14ac:dyDescent="0.25">
      <c r="A93" s="47"/>
      <c r="B93" s="51" t="s">
        <v>161</v>
      </c>
      <c r="C93" s="50" t="s">
        <v>41</v>
      </c>
      <c r="D93" s="60" t="s">
        <v>8</v>
      </c>
      <c r="E93" s="53">
        <f>8+8</f>
        <v>16</v>
      </c>
      <c r="F93" s="52">
        <f>6+8</f>
        <v>14</v>
      </c>
      <c r="G93" s="52">
        <f>6+8</f>
        <v>14</v>
      </c>
      <c r="H93" s="61">
        <f>1164467.92+2035298.8</f>
        <v>3199766.7199999997</v>
      </c>
      <c r="I93" s="61">
        <f>707451+2129933.92</f>
        <v>2837384.92</v>
      </c>
      <c r="J93" s="61">
        <f>707451+2129933.92</f>
        <v>2837384.92</v>
      </c>
      <c r="K93" s="69">
        <f t="shared" si="6"/>
        <v>100</v>
      </c>
    </row>
    <row r="94" spans="1:12" s="49" customFormat="1" ht="42.75" x14ac:dyDescent="0.25">
      <c r="A94" s="47"/>
      <c r="B94" s="51" t="s">
        <v>162</v>
      </c>
      <c r="C94" s="50" t="s">
        <v>41</v>
      </c>
      <c r="D94" s="60" t="s">
        <v>8</v>
      </c>
      <c r="E94" s="53">
        <f>103</f>
        <v>103</v>
      </c>
      <c r="F94" s="52">
        <f>88</f>
        <v>88</v>
      </c>
      <c r="G94" s="52">
        <f>88</f>
        <v>88</v>
      </c>
      <c r="H94" s="61">
        <f>2553411.2</f>
        <v>2553411.2000000002</v>
      </c>
      <c r="I94" s="61">
        <f>2324993.44</f>
        <v>2324993.44</v>
      </c>
      <c r="J94" s="61">
        <f>2324993.44</f>
        <v>2324993.44</v>
      </c>
      <c r="K94" s="69">
        <f t="shared" si="6"/>
        <v>100</v>
      </c>
    </row>
    <row r="95" spans="1:12" s="49" customFormat="1" ht="42.75" x14ac:dyDescent="0.25">
      <c r="A95" s="47"/>
      <c r="B95" s="51" t="s">
        <v>163</v>
      </c>
      <c r="C95" s="50" t="s">
        <v>41</v>
      </c>
      <c r="D95" s="60" t="s">
        <v>8</v>
      </c>
      <c r="E95" s="53">
        <v>82</v>
      </c>
      <c r="F95" s="52">
        <v>82</v>
      </c>
      <c r="G95" s="52">
        <v>82</v>
      </c>
      <c r="H95" s="61">
        <v>4216578.58</v>
      </c>
      <c r="I95" s="61">
        <v>4525714.4800000004</v>
      </c>
      <c r="J95" s="61">
        <v>4525714.4800000004</v>
      </c>
      <c r="K95" s="69">
        <f t="shared" si="6"/>
        <v>100</v>
      </c>
    </row>
    <row r="96" spans="1:12" s="49" customFormat="1" ht="42.75" x14ac:dyDescent="0.25">
      <c r="A96" s="47"/>
      <c r="B96" s="51" t="s">
        <v>164</v>
      </c>
      <c r="C96" s="50" t="s">
        <v>41</v>
      </c>
      <c r="D96" s="60" t="s">
        <v>8</v>
      </c>
      <c r="E96" s="53">
        <v>9</v>
      </c>
      <c r="F96" s="52">
        <v>9</v>
      </c>
      <c r="G96" s="52">
        <v>9</v>
      </c>
      <c r="H96" s="61">
        <v>1076018.1299999999</v>
      </c>
      <c r="I96" s="61">
        <v>1159152.6599999999</v>
      </c>
      <c r="J96" s="61">
        <v>1159152.6599999999</v>
      </c>
      <c r="K96" s="69">
        <f t="shared" si="6"/>
        <v>100</v>
      </c>
    </row>
    <row r="97" spans="1:11" s="49" customFormat="1" ht="42.75" x14ac:dyDescent="0.25">
      <c r="A97" s="47"/>
      <c r="B97" s="51" t="s">
        <v>165</v>
      </c>
      <c r="C97" s="50" t="s">
        <v>41</v>
      </c>
      <c r="D97" s="60" t="s">
        <v>8</v>
      </c>
      <c r="E97" s="53">
        <v>3</v>
      </c>
      <c r="F97" s="52">
        <v>2</v>
      </c>
      <c r="G97" s="52">
        <v>2</v>
      </c>
      <c r="H97" s="61">
        <v>484761.87</v>
      </c>
      <c r="I97" s="61">
        <v>348347.96</v>
      </c>
      <c r="J97" s="61">
        <v>348347.96</v>
      </c>
      <c r="K97" s="69">
        <f t="shared" si="6"/>
        <v>100</v>
      </c>
    </row>
    <row r="98" spans="1:11" s="49" customFormat="1" ht="42.75" x14ac:dyDescent="0.25">
      <c r="A98" s="47"/>
      <c r="B98" s="51" t="s">
        <v>166</v>
      </c>
      <c r="C98" s="50" t="s">
        <v>41</v>
      </c>
      <c r="D98" s="60" t="s">
        <v>8</v>
      </c>
      <c r="E98" s="53">
        <v>301</v>
      </c>
      <c r="F98" s="52">
        <v>289</v>
      </c>
      <c r="G98" s="52">
        <v>289</v>
      </c>
      <c r="H98" s="61">
        <v>4892011.53</v>
      </c>
      <c r="I98" s="61">
        <v>5353548.71</v>
      </c>
      <c r="J98" s="61">
        <v>5353548.71</v>
      </c>
      <c r="K98" s="69">
        <f t="shared" si="6"/>
        <v>100</v>
      </c>
    </row>
    <row r="99" spans="1:11" s="49" customFormat="1" ht="42.75" x14ac:dyDescent="0.25">
      <c r="A99" s="47"/>
      <c r="B99" s="51" t="s">
        <v>167</v>
      </c>
      <c r="C99" s="50" t="s">
        <v>41</v>
      </c>
      <c r="D99" s="60" t="s">
        <v>8</v>
      </c>
      <c r="E99" s="53">
        <v>311</v>
      </c>
      <c r="F99" s="52">
        <v>312</v>
      </c>
      <c r="G99" s="52">
        <v>312</v>
      </c>
      <c r="H99" s="61">
        <v>19699315.350000001</v>
      </c>
      <c r="I99" s="61">
        <v>22030962.73</v>
      </c>
      <c r="J99" s="61">
        <v>22030962.73</v>
      </c>
      <c r="K99" s="69">
        <f t="shared" si="6"/>
        <v>100</v>
      </c>
    </row>
    <row r="100" spans="1:11" s="49" customFormat="1" ht="42.75" x14ac:dyDescent="0.25">
      <c r="A100" s="47"/>
      <c r="B100" s="51" t="s">
        <v>168</v>
      </c>
      <c r="C100" s="50" t="s">
        <v>41</v>
      </c>
      <c r="D100" s="60" t="s">
        <v>8</v>
      </c>
      <c r="E100" s="53">
        <v>26</v>
      </c>
      <c r="F100" s="52">
        <v>23</v>
      </c>
      <c r="G100" s="52">
        <v>23</v>
      </c>
      <c r="H100" s="61">
        <v>7055016.2800000003</v>
      </c>
      <c r="I100" s="61">
        <v>7239064.1600000001</v>
      </c>
      <c r="J100" s="61">
        <v>7239064.1600000001</v>
      </c>
      <c r="K100" s="69">
        <f t="shared" si="6"/>
        <v>100</v>
      </c>
    </row>
    <row r="101" spans="1:11" s="49" customFormat="1" ht="42.75" x14ac:dyDescent="0.25">
      <c r="A101" s="47"/>
      <c r="B101" s="51" t="s">
        <v>169</v>
      </c>
      <c r="C101" s="50" t="s">
        <v>41</v>
      </c>
      <c r="D101" s="60" t="s">
        <v>8</v>
      </c>
      <c r="E101" s="53">
        <v>3</v>
      </c>
      <c r="F101" s="52">
        <v>2</v>
      </c>
      <c r="G101" s="52">
        <v>2</v>
      </c>
      <c r="H101" s="61">
        <v>1105676.9099999999</v>
      </c>
      <c r="I101" s="61">
        <v>855911.36</v>
      </c>
      <c r="J101" s="61">
        <v>855911.36</v>
      </c>
      <c r="K101" s="69">
        <f t="shared" si="6"/>
        <v>100</v>
      </c>
    </row>
    <row r="102" spans="1:11" s="49" customFormat="1" ht="42.75" x14ac:dyDescent="0.25">
      <c r="A102" s="47"/>
      <c r="B102" s="51" t="s">
        <v>170</v>
      </c>
      <c r="C102" s="50" t="s">
        <v>41</v>
      </c>
      <c r="D102" s="60" t="s">
        <v>8</v>
      </c>
      <c r="E102" s="53">
        <f>81+45+30+90</f>
        <v>246</v>
      </c>
      <c r="F102" s="52">
        <f>103+30+30+45</f>
        <v>208</v>
      </c>
      <c r="G102" s="52">
        <f>103+30+30+45</f>
        <v>208</v>
      </c>
      <c r="H102" s="61">
        <f>1047018.96+1558559.11+554878.8+1283220</f>
        <v>4443676.87</v>
      </c>
      <c r="I102" s="61">
        <f>1576976.35+1212855.6+585443.4+440002.8</f>
        <v>3815278.15</v>
      </c>
      <c r="J102" s="61">
        <f>1576976.35+1212855.6+585443.4+440002.8</f>
        <v>3815278.15</v>
      </c>
      <c r="K102" s="69">
        <f t="shared" si="6"/>
        <v>100</v>
      </c>
    </row>
    <row r="103" spans="1:11" s="49" customFormat="1" ht="42.75" x14ac:dyDescent="0.25">
      <c r="A103" s="47"/>
      <c r="B103" s="51" t="s">
        <v>171</v>
      </c>
      <c r="C103" s="50" t="s">
        <v>41</v>
      </c>
      <c r="D103" s="60" t="s">
        <v>8</v>
      </c>
      <c r="E103" s="53">
        <f>52+45+36+60</f>
        <v>193</v>
      </c>
      <c r="F103" s="52">
        <f>38+30+36+60</f>
        <v>164</v>
      </c>
      <c r="G103" s="52">
        <f>38+30+36+60</f>
        <v>164</v>
      </c>
      <c r="H103" s="61">
        <f>1296064.12+1571009.71+1130838.12+1618500</f>
        <v>5616411.9500000002</v>
      </c>
      <c r="I103" s="61">
        <f>1075043.94+1314014.4+1167515.64+2014068.6</f>
        <v>5570642.5800000001</v>
      </c>
      <c r="J103" s="61">
        <f>1075043.94+1314014.4+1167515.64+2014068.6</f>
        <v>5570642.5800000001</v>
      </c>
      <c r="K103" s="69">
        <f t="shared" si="6"/>
        <v>100</v>
      </c>
    </row>
    <row r="104" spans="1:11" s="49" customFormat="1" ht="42.75" x14ac:dyDescent="0.25">
      <c r="A104" s="47"/>
      <c r="B104" s="51" t="s">
        <v>172</v>
      </c>
      <c r="C104" s="50" t="s">
        <v>41</v>
      </c>
      <c r="D104" s="60" t="s">
        <v>8</v>
      </c>
      <c r="E104" s="53">
        <v>16</v>
      </c>
      <c r="F104" s="52">
        <v>16</v>
      </c>
      <c r="G104" s="52">
        <v>16</v>
      </c>
      <c r="H104" s="61">
        <v>686384</v>
      </c>
      <c r="I104" s="61">
        <v>1251120.32</v>
      </c>
      <c r="J104" s="61">
        <v>1251120.32</v>
      </c>
      <c r="K104" s="69">
        <f t="shared" si="6"/>
        <v>100</v>
      </c>
    </row>
    <row r="105" spans="1:11" s="49" customFormat="1" ht="42.75" x14ac:dyDescent="0.25">
      <c r="A105" s="47"/>
      <c r="B105" s="51" t="s">
        <v>173</v>
      </c>
      <c r="C105" s="50" t="s">
        <v>41</v>
      </c>
      <c r="D105" s="60" t="s">
        <v>8</v>
      </c>
      <c r="E105" s="53">
        <v>48</v>
      </c>
      <c r="F105" s="52">
        <v>48</v>
      </c>
      <c r="G105" s="52">
        <v>48</v>
      </c>
      <c r="H105" s="61">
        <v>1665783.22</v>
      </c>
      <c r="I105" s="61">
        <v>1940569.72</v>
      </c>
      <c r="J105" s="61">
        <v>1940569.72</v>
      </c>
      <c r="K105" s="69">
        <f t="shared" si="6"/>
        <v>100</v>
      </c>
    </row>
    <row r="106" spans="1:11" s="49" customFormat="1" ht="42.75" x14ac:dyDescent="0.25">
      <c r="A106" s="47"/>
      <c r="B106" s="51" t="s">
        <v>174</v>
      </c>
      <c r="C106" s="50" t="s">
        <v>41</v>
      </c>
      <c r="D106" s="60" t="s">
        <v>8</v>
      </c>
      <c r="E106" s="53">
        <v>24</v>
      </c>
      <c r="F106" s="52">
        <v>24</v>
      </c>
      <c r="G106" s="52">
        <v>24</v>
      </c>
      <c r="H106" s="61">
        <v>837871.85</v>
      </c>
      <c r="I106" s="61">
        <v>1051211.76</v>
      </c>
      <c r="J106" s="61">
        <v>1051211.76</v>
      </c>
      <c r="K106" s="69">
        <f t="shared" si="6"/>
        <v>100</v>
      </c>
    </row>
    <row r="107" spans="1:11" s="49" customFormat="1" ht="42.75" x14ac:dyDescent="0.25">
      <c r="A107" s="47"/>
      <c r="B107" s="51" t="s">
        <v>175</v>
      </c>
      <c r="C107" s="50" t="s">
        <v>41</v>
      </c>
      <c r="D107" s="60" t="s">
        <v>8</v>
      </c>
      <c r="E107" s="53">
        <v>45</v>
      </c>
      <c r="F107" s="52">
        <v>45</v>
      </c>
      <c r="G107" s="52">
        <v>45</v>
      </c>
      <c r="H107" s="61">
        <v>1561659.01</v>
      </c>
      <c r="I107" s="61">
        <v>1819284.3</v>
      </c>
      <c r="J107" s="61">
        <v>1819284.3</v>
      </c>
      <c r="K107" s="69">
        <f t="shared" si="6"/>
        <v>100</v>
      </c>
    </row>
    <row r="108" spans="1:11" s="49" customFormat="1" ht="42.75" x14ac:dyDescent="0.25">
      <c r="A108" s="47"/>
      <c r="B108" s="51" t="s">
        <v>176</v>
      </c>
      <c r="C108" s="50" t="s">
        <v>41</v>
      </c>
      <c r="D108" s="60" t="s">
        <v>8</v>
      </c>
      <c r="E108" s="53">
        <v>62</v>
      </c>
      <c r="F108" s="52">
        <v>62</v>
      </c>
      <c r="G108" s="52">
        <v>62</v>
      </c>
      <c r="H108" s="61">
        <v>2176952.37</v>
      </c>
      <c r="I108" s="61">
        <v>2917948.11</v>
      </c>
      <c r="J108" s="61">
        <v>2917948.11</v>
      </c>
      <c r="K108" s="69">
        <f t="shared" si="6"/>
        <v>100</v>
      </c>
    </row>
    <row r="109" spans="1:11" s="49" customFormat="1" ht="42.75" x14ac:dyDescent="0.25">
      <c r="A109" s="47"/>
      <c r="B109" s="51" t="s">
        <v>177</v>
      </c>
      <c r="C109" s="50" t="s">
        <v>41</v>
      </c>
      <c r="D109" s="60" t="s">
        <v>8</v>
      </c>
      <c r="E109" s="53">
        <f>196+154</f>
        <v>350</v>
      </c>
      <c r="F109" s="52">
        <f>182+154</f>
        <v>336</v>
      </c>
      <c r="G109" s="52">
        <f>182+154</f>
        <v>336</v>
      </c>
      <c r="H109" s="61">
        <f>6784515.9+3396158.92</f>
        <v>10180674.82</v>
      </c>
      <c r="I109" s="61">
        <f>7027535.18+3396158.92</f>
        <v>10423694.1</v>
      </c>
      <c r="J109" s="61">
        <f>7027535.18+3396158.92</f>
        <v>10423694.1</v>
      </c>
      <c r="K109" s="69">
        <f t="shared" si="6"/>
        <v>100</v>
      </c>
    </row>
    <row r="110" spans="1:11" s="49" customFormat="1" ht="42.75" x14ac:dyDescent="0.25">
      <c r="A110" s="47"/>
      <c r="B110" s="51" t="s">
        <v>178</v>
      </c>
      <c r="C110" s="50" t="s">
        <v>41</v>
      </c>
      <c r="D110" s="60" t="s">
        <v>8</v>
      </c>
      <c r="E110" s="53">
        <f>210+120</f>
        <v>330</v>
      </c>
      <c r="F110" s="52">
        <f>154+120</f>
        <v>274</v>
      </c>
      <c r="G110" s="52">
        <f>154+120</f>
        <v>274</v>
      </c>
      <c r="H110" s="61">
        <f>7372177.47+4645953.6</f>
        <v>12018131.07</v>
      </c>
      <c r="I110" s="61">
        <f>7217365.54+4645953.6</f>
        <v>11863319.140000001</v>
      </c>
      <c r="J110" s="61">
        <f>7217365.54+4645953.6</f>
        <v>11863319.140000001</v>
      </c>
      <c r="K110" s="69">
        <f t="shared" si="6"/>
        <v>100</v>
      </c>
    </row>
    <row r="111" spans="1:11" s="49" customFormat="1" ht="42.75" x14ac:dyDescent="0.25">
      <c r="A111" s="47"/>
      <c r="B111" s="51" t="s">
        <v>179</v>
      </c>
      <c r="C111" s="50" t="s">
        <v>41</v>
      </c>
      <c r="D111" s="60" t="s">
        <v>8</v>
      </c>
      <c r="E111" s="53">
        <v>116</v>
      </c>
      <c r="F111" s="52">
        <v>116</v>
      </c>
      <c r="G111" s="52">
        <v>116</v>
      </c>
      <c r="H111" s="61">
        <v>2246141.64</v>
      </c>
      <c r="I111" s="61">
        <v>2364322.44</v>
      </c>
      <c r="J111" s="61">
        <v>2364322.44</v>
      </c>
      <c r="K111" s="69">
        <f t="shared" si="6"/>
        <v>100</v>
      </c>
    </row>
    <row r="112" spans="1:11" s="49" customFormat="1" ht="42.75" x14ac:dyDescent="0.25">
      <c r="A112" s="47"/>
      <c r="B112" s="51" t="s">
        <v>180</v>
      </c>
      <c r="C112" s="50" t="s">
        <v>41</v>
      </c>
      <c r="D112" s="60" t="s">
        <v>8</v>
      </c>
      <c r="E112" s="53">
        <v>88</v>
      </c>
      <c r="F112" s="52">
        <v>88</v>
      </c>
      <c r="G112" s="52">
        <v>88</v>
      </c>
      <c r="H112" s="61">
        <v>2396885.04</v>
      </c>
      <c r="I112" s="61">
        <v>2486541.2000000002</v>
      </c>
      <c r="J112" s="61">
        <v>2486541.2000000002</v>
      </c>
      <c r="K112" s="69">
        <f t="shared" si="6"/>
        <v>100</v>
      </c>
    </row>
    <row r="113" spans="1:11" s="49" customFormat="1" ht="42.75" x14ac:dyDescent="0.25">
      <c r="A113" s="47"/>
      <c r="B113" s="51" t="s">
        <v>181</v>
      </c>
      <c r="C113" s="50" t="s">
        <v>41</v>
      </c>
      <c r="D113" s="60" t="s">
        <v>8</v>
      </c>
      <c r="E113" s="53">
        <v>5</v>
      </c>
      <c r="F113" s="52">
        <v>5</v>
      </c>
      <c r="G113" s="52">
        <v>5</v>
      </c>
      <c r="H113" s="61">
        <v>339657.6</v>
      </c>
      <c r="I113" s="61">
        <v>344751.7</v>
      </c>
      <c r="J113" s="61">
        <v>344751.7</v>
      </c>
      <c r="K113" s="69">
        <f t="shared" si="6"/>
        <v>100</v>
      </c>
    </row>
    <row r="114" spans="1:11" s="49" customFormat="1" ht="42.75" x14ac:dyDescent="0.25">
      <c r="A114" s="47"/>
      <c r="B114" s="51" t="s">
        <v>182</v>
      </c>
      <c r="C114" s="50" t="s">
        <v>41</v>
      </c>
      <c r="D114" s="60" t="s">
        <v>8</v>
      </c>
      <c r="E114" s="53">
        <f>15+77+42</f>
        <v>134</v>
      </c>
      <c r="F114" s="52">
        <f>15+77+70</f>
        <v>162</v>
      </c>
      <c r="G114" s="52">
        <f>15+77+70</f>
        <v>162</v>
      </c>
      <c r="H114" s="61">
        <f>305017.35+2150087.33+608047.02</f>
        <v>3063151.7</v>
      </c>
      <c r="I114" s="61">
        <f>320299.65+2147240.48+648219.6</f>
        <v>3115759.73</v>
      </c>
      <c r="J114" s="61">
        <f>320299.65+2147240.48+648219.6</f>
        <v>3115759.73</v>
      </c>
      <c r="K114" s="69">
        <f t="shared" si="6"/>
        <v>100</v>
      </c>
    </row>
    <row r="115" spans="1:11" s="49" customFormat="1" ht="42.75" x14ac:dyDescent="0.25">
      <c r="A115" s="47"/>
      <c r="B115" s="51" t="s">
        <v>183</v>
      </c>
      <c r="C115" s="50" t="s">
        <v>41</v>
      </c>
      <c r="D115" s="60" t="s">
        <v>8</v>
      </c>
      <c r="E115" s="53">
        <f>15+12+36</f>
        <v>63</v>
      </c>
      <c r="F115" s="52">
        <f>15+12+36</f>
        <v>63</v>
      </c>
      <c r="G115" s="52">
        <f>15+12+36</f>
        <v>63</v>
      </c>
      <c r="H115" s="61">
        <f>358135.2+545894.68+614046.96</f>
        <v>1518076.84</v>
      </c>
      <c r="I115" s="61">
        <f>373417.5+582569.28+614046.96</f>
        <v>1570033.74</v>
      </c>
      <c r="J115" s="61">
        <f>373417.5+582569.28+614046.96</f>
        <v>1570033.74</v>
      </c>
      <c r="K115" s="69">
        <f t="shared" si="6"/>
        <v>100</v>
      </c>
    </row>
    <row r="116" spans="1:11" s="49" customFormat="1" ht="42.75" x14ac:dyDescent="0.25">
      <c r="A116" s="47"/>
      <c r="B116" s="51" t="s">
        <v>184</v>
      </c>
      <c r="C116" s="50" t="s">
        <v>41</v>
      </c>
      <c r="D116" s="60" t="s">
        <v>8</v>
      </c>
      <c r="E116" s="53">
        <v>6</v>
      </c>
      <c r="F116" s="52">
        <v>6</v>
      </c>
      <c r="G116" s="52">
        <v>6</v>
      </c>
      <c r="H116" s="61">
        <v>224548.38</v>
      </c>
      <c r="I116" s="61">
        <v>224548.38</v>
      </c>
      <c r="J116" s="61">
        <v>224548.38</v>
      </c>
      <c r="K116" s="69">
        <f t="shared" si="6"/>
        <v>100</v>
      </c>
    </row>
    <row r="117" spans="1:11" s="49" customFormat="1" ht="42.75" x14ac:dyDescent="0.25">
      <c r="A117" s="47"/>
      <c r="B117" s="51" t="s">
        <v>185</v>
      </c>
      <c r="C117" s="50" t="s">
        <v>41</v>
      </c>
      <c r="D117" s="60" t="s">
        <v>8</v>
      </c>
      <c r="E117" s="53">
        <v>25</v>
      </c>
      <c r="F117" s="52">
        <v>25</v>
      </c>
      <c r="G117" s="52">
        <v>25</v>
      </c>
      <c r="H117" s="61">
        <v>500971.75</v>
      </c>
      <c r="I117" s="61">
        <v>526442.25</v>
      </c>
      <c r="J117" s="61">
        <v>526442.25</v>
      </c>
      <c r="K117" s="69">
        <f t="shared" si="6"/>
        <v>100</v>
      </c>
    </row>
    <row r="118" spans="1:11" s="49" customFormat="1" ht="42.75" x14ac:dyDescent="0.25">
      <c r="A118" s="47"/>
      <c r="B118" s="51" t="s">
        <v>186</v>
      </c>
      <c r="C118" s="50" t="s">
        <v>41</v>
      </c>
      <c r="D118" s="60" t="s">
        <v>8</v>
      </c>
      <c r="E118" s="53">
        <v>57</v>
      </c>
      <c r="F118" s="52">
        <v>57</v>
      </c>
      <c r="G118" s="52">
        <v>57</v>
      </c>
      <c r="H118" s="61">
        <v>1625325.36</v>
      </c>
      <c r="I118" s="61">
        <v>1683396.96</v>
      </c>
      <c r="J118" s="61">
        <v>1683396.96</v>
      </c>
      <c r="K118" s="69">
        <f t="shared" si="6"/>
        <v>100</v>
      </c>
    </row>
    <row r="119" spans="1:11" s="49" customFormat="1" ht="42.75" x14ac:dyDescent="0.25">
      <c r="A119" s="47"/>
      <c r="B119" s="51" t="s">
        <v>187</v>
      </c>
      <c r="C119" s="50" t="s">
        <v>41</v>
      </c>
      <c r="D119" s="60" t="s">
        <v>8</v>
      </c>
      <c r="E119" s="53">
        <v>14</v>
      </c>
      <c r="F119" s="52">
        <v>14</v>
      </c>
      <c r="G119" s="52">
        <v>14</v>
      </c>
      <c r="H119" s="61">
        <v>292740.84000000003</v>
      </c>
      <c r="I119" s="61">
        <v>307004.32</v>
      </c>
      <c r="J119" s="61">
        <v>307004.32</v>
      </c>
      <c r="K119" s="69">
        <f t="shared" si="6"/>
        <v>100</v>
      </c>
    </row>
    <row r="120" spans="1:11" s="49" customFormat="1" ht="42.75" x14ac:dyDescent="0.25">
      <c r="A120" s="47"/>
      <c r="B120" s="51" t="s">
        <v>188</v>
      </c>
      <c r="C120" s="50" t="s">
        <v>41</v>
      </c>
      <c r="D120" s="60" t="s">
        <v>8</v>
      </c>
      <c r="E120" s="53">
        <v>48</v>
      </c>
      <c r="F120" s="52">
        <v>48</v>
      </c>
      <c r="G120" s="52">
        <v>48</v>
      </c>
      <c r="H120" s="61">
        <v>1247589.6000000001</v>
      </c>
      <c r="I120" s="61">
        <v>1296492.48</v>
      </c>
      <c r="J120" s="61">
        <v>1296492.48</v>
      </c>
      <c r="K120" s="69">
        <f t="shared" si="6"/>
        <v>100</v>
      </c>
    </row>
    <row r="121" spans="1:11" s="49" customFormat="1" ht="42.75" x14ac:dyDescent="0.25">
      <c r="A121" s="47"/>
      <c r="B121" s="51" t="s">
        <v>189</v>
      </c>
      <c r="C121" s="50" t="s">
        <v>41</v>
      </c>
      <c r="D121" s="60" t="s">
        <v>8</v>
      </c>
      <c r="E121" s="53">
        <v>24</v>
      </c>
      <c r="F121" s="52">
        <v>24</v>
      </c>
      <c r="G121" s="52">
        <v>24</v>
      </c>
      <c r="H121" s="61">
        <v>460698</v>
      </c>
      <c r="I121" s="61">
        <v>485149.92</v>
      </c>
      <c r="J121" s="61">
        <v>485149.92</v>
      </c>
      <c r="K121" s="69">
        <f t="shared" si="6"/>
        <v>100</v>
      </c>
    </row>
    <row r="122" spans="1:11" s="49" customFormat="1" ht="42.75" x14ac:dyDescent="0.25">
      <c r="A122" s="47"/>
      <c r="B122" s="51" t="s">
        <v>190</v>
      </c>
      <c r="C122" s="50" t="s">
        <v>41</v>
      </c>
      <c r="D122" s="60" t="s">
        <v>8</v>
      </c>
      <c r="E122" s="53">
        <v>20</v>
      </c>
      <c r="F122" s="52">
        <v>20</v>
      </c>
      <c r="G122" s="52">
        <v>20</v>
      </c>
      <c r="H122" s="61">
        <v>540482.6</v>
      </c>
      <c r="I122" s="61">
        <v>560859</v>
      </c>
      <c r="J122" s="61">
        <v>560859</v>
      </c>
      <c r="K122" s="69">
        <f t="shared" si="6"/>
        <v>100</v>
      </c>
    </row>
    <row r="123" spans="1:11" s="49" customFormat="1" ht="42.75" x14ac:dyDescent="0.25">
      <c r="A123" s="47"/>
      <c r="B123" s="51" t="s">
        <v>191</v>
      </c>
      <c r="C123" s="50" t="s">
        <v>41</v>
      </c>
      <c r="D123" s="60" t="s">
        <v>8</v>
      </c>
      <c r="E123" s="53">
        <v>51</v>
      </c>
      <c r="F123" s="52">
        <v>51</v>
      </c>
      <c r="G123" s="52">
        <v>51</v>
      </c>
      <c r="H123" s="61">
        <v>1519531.23</v>
      </c>
      <c r="I123" s="61">
        <v>2257536.9300000002</v>
      </c>
      <c r="J123" s="61">
        <v>2257536.9300000002</v>
      </c>
      <c r="K123" s="69">
        <f t="shared" si="6"/>
        <v>100</v>
      </c>
    </row>
    <row r="124" spans="1:11" s="49" customFormat="1" ht="42.75" x14ac:dyDescent="0.25">
      <c r="A124" s="47"/>
      <c r="B124" s="51" t="s">
        <v>192</v>
      </c>
      <c r="C124" s="50" t="s">
        <v>41</v>
      </c>
      <c r="D124" s="60" t="s">
        <v>8</v>
      </c>
      <c r="E124" s="53">
        <v>81</v>
      </c>
      <c r="F124" s="52">
        <v>78</v>
      </c>
      <c r="G124" s="52">
        <v>78</v>
      </c>
      <c r="H124" s="61">
        <v>3919973.13</v>
      </c>
      <c r="I124" s="61">
        <v>4544960.9400000004</v>
      </c>
      <c r="J124" s="61">
        <v>4544960.9400000004</v>
      </c>
      <c r="K124" s="69">
        <f t="shared" si="6"/>
        <v>100</v>
      </c>
    </row>
    <row r="125" spans="1:11" s="49" customFormat="1" ht="42.75" x14ac:dyDescent="0.25">
      <c r="A125" s="47"/>
      <c r="B125" s="51" t="s">
        <v>193</v>
      </c>
      <c r="C125" s="50" t="s">
        <v>41</v>
      </c>
      <c r="D125" s="60" t="s">
        <v>8</v>
      </c>
      <c r="E125" s="53">
        <v>0</v>
      </c>
      <c r="F125" s="52">
        <v>3</v>
      </c>
      <c r="G125" s="52">
        <v>3</v>
      </c>
      <c r="H125" s="61">
        <v>0</v>
      </c>
      <c r="I125" s="61">
        <v>174806.19</v>
      </c>
      <c r="J125" s="61">
        <v>174806.19</v>
      </c>
      <c r="K125" s="69">
        <f t="shared" si="6"/>
        <v>100</v>
      </c>
    </row>
    <row r="126" spans="1:11" s="49" customFormat="1" ht="42.75" x14ac:dyDescent="0.25">
      <c r="A126" s="47"/>
      <c r="B126" s="51" t="s">
        <v>194</v>
      </c>
      <c r="C126" s="50" t="s">
        <v>41</v>
      </c>
      <c r="D126" s="60" t="s">
        <v>8</v>
      </c>
      <c r="E126" s="53">
        <v>1</v>
      </c>
      <c r="F126" s="52">
        <v>1</v>
      </c>
      <c r="G126" s="52">
        <v>1</v>
      </c>
      <c r="H126" s="61">
        <v>77887.240000000005</v>
      </c>
      <c r="I126" s="61">
        <v>83193.009999999995</v>
      </c>
      <c r="J126" s="61">
        <v>83193.009999999995</v>
      </c>
      <c r="K126" s="69">
        <f t="shared" si="6"/>
        <v>100</v>
      </c>
    </row>
    <row r="127" spans="1:11" s="49" customFormat="1" ht="42.75" x14ac:dyDescent="0.25">
      <c r="A127" s="47"/>
      <c r="B127" s="51" t="s">
        <v>195</v>
      </c>
      <c r="C127" s="50" t="s">
        <v>41</v>
      </c>
      <c r="D127" s="60" t="s">
        <v>8</v>
      </c>
      <c r="E127" s="53">
        <v>101</v>
      </c>
      <c r="F127" s="52">
        <v>101</v>
      </c>
      <c r="G127" s="52">
        <v>101</v>
      </c>
      <c r="H127" s="61">
        <v>2897021.43</v>
      </c>
      <c r="I127" s="61">
        <v>2811190.57</v>
      </c>
      <c r="J127" s="61">
        <v>2811190.57</v>
      </c>
      <c r="K127" s="69">
        <f t="shared" si="6"/>
        <v>100</v>
      </c>
    </row>
    <row r="128" spans="1:11" s="49" customFormat="1" ht="42.75" x14ac:dyDescent="0.25">
      <c r="A128" s="47"/>
      <c r="B128" s="51" t="s">
        <v>196</v>
      </c>
      <c r="C128" s="50" t="s">
        <v>41</v>
      </c>
      <c r="D128" s="60" t="s">
        <v>8</v>
      </c>
      <c r="E128" s="53">
        <v>10</v>
      </c>
      <c r="F128" s="52">
        <v>10</v>
      </c>
      <c r="G128" s="52">
        <v>10</v>
      </c>
      <c r="H128" s="61">
        <v>449058.31</v>
      </c>
      <c r="I128" s="61">
        <v>440559.7</v>
      </c>
      <c r="J128" s="61">
        <v>440559.7</v>
      </c>
      <c r="K128" s="69">
        <f t="shared" si="6"/>
        <v>100</v>
      </c>
    </row>
    <row r="129" spans="1:11" s="49" customFormat="1" ht="42.75" x14ac:dyDescent="0.25">
      <c r="A129" s="47"/>
      <c r="B129" s="51" t="s">
        <v>197</v>
      </c>
      <c r="C129" s="50" t="s">
        <v>41</v>
      </c>
      <c r="D129" s="60" t="s">
        <v>8</v>
      </c>
      <c r="E129" s="53">
        <v>92</v>
      </c>
      <c r="F129" s="52">
        <v>92</v>
      </c>
      <c r="G129" s="52">
        <v>92</v>
      </c>
      <c r="H129" s="61">
        <v>2724141.41</v>
      </c>
      <c r="I129" s="61">
        <v>2645959.56</v>
      </c>
      <c r="J129" s="61">
        <v>2645959.56</v>
      </c>
      <c r="K129" s="69">
        <f t="shared" si="6"/>
        <v>100</v>
      </c>
    </row>
    <row r="130" spans="1:11" s="49" customFormat="1" ht="42.75" x14ac:dyDescent="0.25">
      <c r="A130" s="47"/>
      <c r="B130" s="51" t="s">
        <v>198</v>
      </c>
      <c r="C130" s="50" t="s">
        <v>41</v>
      </c>
      <c r="D130" s="60" t="s">
        <v>8</v>
      </c>
      <c r="E130" s="53">
        <v>21</v>
      </c>
      <c r="F130" s="52">
        <v>21</v>
      </c>
      <c r="G130" s="52">
        <v>21</v>
      </c>
      <c r="H130" s="61">
        <v>873316.53</v>
      </c>
      <c r="I130" s="61">
        <v>855470.7</v>
      </c>
      <c r="J130" s="61">
        <v>855470.7</v>
      </c>
      <c r="K130" s="69">
        <f t="shared" si="6"/>
        <v>100</v>
      </c>
    </row>
    <row r="131" spans="1:11" s="49" customFormat="1" ht="42.75" x14ac:dyDescent="0.25">
      <c r="A131" s="47"/>
      <c r="B131" s="51" t="s">
        <v>199</v>
      </c>
      <c r="C131" s="50" t="s">
        <v>41</v>
      </c>
      <c r="D131" s="60" t="s">
        <v>8</v>
      </c>
      <c r="E131" s="53">
        <v>0</v>
      </c>
      <c r="F131" s="52">
        <v>40</v>
      </c>
      <c r="G131" s="52">
        <v>40</v>
      </c>
      <c r="H131" s="61">
        <v>0</v>
      </c>
      <c r="I131" s="61">
        <v>79573.2</v>
      </c>
      <c r="J131" s="61">
        <v>79573.2</v>
      </c>
      <c r="K131" s="69">
        <f t="shared" si="6"/>
        <v>100</v>
      </c>
    </row>
    <row r="132" spans="1:11" ht="47.25" x14ac:dyDescent="0.25">
      <c r="A132" s="30" t="s">
        <v>38</v>
      </c>
      <c r="B132" s="32" t="s">
        <v>42</v>
      </c>
      <c r="C132" s="28" t="s">
        <v>41</v>
      </c>
      <c r="D132" s="33" t="s">
        <v>8</v>
      </c>
      <c r="E132" s="67">
        <f>SUM(E133:E175)</f>
        <v>3395</v>
      </c>
      <c r="F132" s="67">
        <f t="shared" ref="F132:J132" si="12">SUM(F133:F175)</f>
        <v>3585</v>
      </c>
      <c r="G132" s="67">
        <f t="shared" si="12"/>
        <v>3585</v>
      </c>
      <c r="H132" s="29">
        <f t="shared" si="12"/>
        <v>81323266.469999999</v>
      </c>
      <c r="I132" s="29">
        <f t="shared" si="12"/>
        <v>83604419.719999984</v>
      </c>
      <c r="J132" s="29">
        <f t="shared" si="12"/>
        <v>83604419.719999984</v>
      </c>
      <c r="K132" s="68">
        <f t="shared" si="6"/>
        <v>100</v>
      </c>
    </row>
    <row r="133" spans="1:11" s="49" customFormat="1" ht="42.75" x14ac:dyDescent="0.25">
      <c r="A133" s="47" t="s">
        <v>245</v>
      </c>
      <c r="B133" s="51" t="s">
        <v>200</v>
      </c>
      <c r="C133" s="50" t="s">
        <v>41</v>
      </c>
      <c r="D133" s="60" t="s">
        <v>8</v>
      </c>
      <c r="E133" s="52">
        <f>14</f>
        <v>14</v>
      </c>
      <c r="F133" s="52">
        <f>14</f>
        <v>14</v>
      </c>
      <c r="G133" s="52">
        <f>14</f>
        <v>14</v>
      </c>
      <c r="H133" s="61">
        <f>387847.6</f>
        <v>387847.6</v>
      </c>
      <c r="I133" s="61">
        <f>396877.18</f>
        <v>396877.18</v>
      </c>
      <c r="J133" s="61">
        <f>396877.18</f>
        <v>396877.18</v>
      </c>
      <c r="K133" s="69">
        <f t="shared" si="6"/>
        <v>100</v>
      </c>
    </row>
    <row r="134" spans="1:11" s="49" customFormat="1" ht="42.75" x14ac:dyDescent="0.25">
      <c r="A134" s="47"/>
      <c r="B134" s="51" t="s">
        <v>201</v>
      </c>
      <c r="C134" s="50" t="s">
        <v>41</v>
      </c>
      <c r="D134" s="60" t="s">
        <v>8</v>
      </c>
      <c r="E134" s="52">
        <f>12</f>
        <v>12</v>
      </c>
      <c r="F134" s="52">
        <f>12</f>
        <v>12</v>
      </c>
      <c r="G134" s="52">
        <f>12</f>
        <v>12</v>
      </c>
      <c r="H134" s="65">
        <f>379852.68</f>
        <v>379852.68</v>
      </c>
      <c r="I134" s="65">
        <v>387592.68</v>
      </c>
      <c r="J134" s="65">
        <v>387592.68</v>
      </c>
      <c r="K134" s="69">
        <f t="shared" si="6"/>
        <v>100</v>
      </c>
    </row>
    <row r="135" spans="1:11" s="49" customFormat="1" ht="42.75" x14ac:dyDescent="0.25">
      <c r="A135" s="47"/>
      <c r="B135" s="51" t="s">
        <v>202</v>
      </c>
      <c r="C135" s="50" t="s">
        <v>41</v>
      </c>
      <c r="D135" s="60" t="s">
        <v>8</v>
      </c>
      <c r="E135" s="52">
        <f>6</f>
        <v>6</v>
      </c>
      <c r="F135" s="52">
        <f>6</f>
        <v>6</v>
      </c>
      <c r="G135" s="52">
        <f>6</f>
        <v>6</v>
      </c>
      <c r="H135" s="65">
        <f>681549.06</f>
        <v>681549.06</v>
      </c>
      <c r="I135" s="65">
        <v>685418.94</v>
      </c>
      <c r="J135" s="65">
        <v>685418.94</v>
      </c>
      <c r="K135" s="69">
        <f t="shared" si="6"/>
        <v>100</v>
      </c>
    </row>
    <row r="136" spans="1:11" s="49" customFormat="1" ht="42.75" x14ac:dyDescent="0.25">
      <c r="A136" s="47"/>
      <c r="B136" s="51" t="s">
        <v>203</v>
      </c>
      <c r="C136" s="50" t="s">
        <v>41</v>
      </c>
      <c r="D136" s="60" t="s">
        <v>8</v>
      </c>
      <c r="E136" s="52">
        <f>8</f>
        <v>8</v>
      </c>
      <c r="F136" s="52">
        <f>8</f>
        <v>8</v>
      </c>
      <c r="G136" s="52">
        <f>8</f>
        <v>8</v>
      </c>
      <c r="H136" s="65">
        <f>1064550.8</f>
        <v>1064550.8</v>
      </c>
      <c r="I136" s="65">
        <v>1069710.56</v>
      </c>
      <c r="J136" s="65">
        <v>1069710.56</v>
      </c>
      <c r="K136" s="69">
        <f t="shared" si="6"/>
        <v>100</v>
      </c>
    </row>
    <row r="137" spans="1:11" s="49" customFormat="1" ht="42.75" x14ac:dyDescent="0.25">
      <c r="A137" s="47"/>
      <c r="B137" s="66" t="s">
        <v>204</v>
      </c>
      <c r="C137" s="50" t="s">
        <v>41</v>
      </c>
      <c r="D137" s="60" t="s">
        <v>8</v>
      </c>
      <c r="E137" s="52">
        <f>86+101</f>
        <v>187</v>
      </c>
      <c r="F137" s="52">
        <f>86+101</f>
        <v>187</v>
      </c>
      <c r="G137" s="52">
        <f>86+101</f>
        <v>187</v>
      </c>
      <c r="H137" s="65">
        <f>2290103.46+2977282.23</f>
        <v>5267385.6899999995</v>
      </c>
      <c r="I137" s="65">
        <f>2345571.74+3001560.42</f>
        <v>5347132.16</v>
      </c>
      <c r="J137" s="65">
        <f>2345571.74+3001560.42</f>
        <v>5347132.16</v>
      </c>
      <c r="K137" s="69">
        <f t="shared" si="6"/>
        <v>100</v>
      </c>
    </row>
    <row r="138" spans="1:11" s="49" customFormat="1" ht="42.75" x14ac:dyDescent="0.25">
      <c r="A138" s="47"/>
      <c r="B138" s="66" t="s">
        <v>205</v>
      </c>
      <c r="C138" s="50" t="s">
        <v>41</v>
      </c>
      <c r="D138" s="60" t="s">
        <v>8</v>
      </c>
      <c r="E138" s="52">
        <f>126+93</f>
        <v>219</v>
      </c>
      <c r="F138" s="52">
        <f>126+59</f>
        <v>185</v>
      </c>
      <c r="G138" s="52">
        <f>126+59</f>
        <v>185</v>
      </c>
      <c r="H138" s="65">
        <f>4161845.52+3791688.89</f>
        <v>7953534.4100000001</v>
      </c>
      <c r="I138" s="65">
        <f>4243111.74+2351044.98</f>
        <v>6594156.7200000007</v>
      </c>
      <c r="J138" s="65">
        <f>4243111.74+2351044.98</f>
        <v>6594156.7200000007</v>
      </c>
      <c r="K138" s="69">
        <f t="shared" si="6"/>
        <v>100</v>
      </c>
    </row>
    <row r="139" spans="1:11" s="49" customFormat="1" ht="42.75" x14ac:dyDescent="0.25">
      <c r="A139" s="47"/>
      <c r="B139" s="66" t="s">
        <v>206</v>
      </c>
      <c r="C139" s="50" t="s">
        <v>41</v>
      </c>
      <c r="D139" s="60" t="s">
        <v>8</v>
      </c>
      <c r="E139" s="52">
        <f>5+24</f>
        <v>29</v>
      </c>
      <c r="F139" s="52">
        <f>5+24</f>
        <v>29</v>
      </c>
      <c r="G139" s="52">
        <f>5+24</f>
        <v>29</v>
      </c>
      <c r="H139" s="65">
        <f>387614.75+1537547.09</f>
        <v>1925161.84</v>
      </c>
      <c r="I139" s="65">
        <f>390839.7+1642143.84</f>
        <v>2032983.54</v>
      </c>
      <c r="J139" s="65">
        <f>390839.7+1642143.84</f>
        <v>2032983.54</v>
      </c>
      <c r="K139" s="69">
        <f t="shared" si="6"/>
        <v>100</v>
      </c>
    </row>
    <row r="140" spans="1:11" s="49" customFormat="1" ht="42.75" x14ac:dyDescent="0.25">
      <c r="A140" s="47"/>
      <c r="B140" s="66" t="s">
        <v>207</v>
      </c>
      <c r="C140" s="50" t="s">
        <v>41</v>
      </c>
      <c r="D140" s="60" t="s">
        <v>8</v>
      </c>
      <c r="E140" s="52">
        <f>16</f>
        <v>16</v>
      </c>
      <c r="F140" s="52">
        <f>16</f>
        <v>16</v>
      </c>
      <c r="G140" s="52">
        <f>16</f>
        <v>16</v>
      </c>
      <c r="H140" s="65">
        <f>2072430.72</f>
        <v>2072430.72</v>
      </c>
      <c r="I140" s="65">
        <f>2082750.56</f>
        <v>2082750.56</v>
      </c>
      <c r="J140" s="65">
        <f>2082750.56</f>
        <v>2082750.56</v>
      </c>
      <c r="K140" s="69">
        <f t="shared" si="6"/>
        <v>100</v>
      </c>
    </row>
    <row r="141" spans="1:11" s="49" customFormat="1" ht="42.75" x14ac:dyDescent="0.25">
      <c r="A141" s="47"/>
      <c r="B141" s="66" t="s">
        <v>208</v>
      </c>
      <c r="C141" s="50" t="s">
        <v>41</v>
      </c>
      <c r="D141" s="60" t="s">
        <v>8</v>
      </c>
      <c r="E141" s="52">
        <v>73</v>
      </c>
      <c r="F141" s="52">
        <v>64</v>
      </c>
      <c r="G141" s="52">
        <v>64</v>
      </c>
      <c r="H141" s="65">
        <f>2392178.61</f>
        <v>2392178.61</v>
      </c>
      <c r="I141" s="65">
        <f>2170515.2</f>
        <v>2170515.2000000002</v>
      </c>
      <c r="J141" s="65">
        <f>2170515.2</f>
        <v>2170515.2000000002</v>
      </c>
      <c r="K141" s="69">
        <f t="shared" si="6"/>
        <v>100</v>
      </c>
    </row>
    <row r="142" spans="1:11" s="49" customFormat="1" ht="42.75" x14ac:dyDescent="0.25">
      <c r="A142" s="47"/>
      <c r="B142" s="66" t="s">
        <v>209</v>
      </c>
      <c r="C142" s="50" t="s">
        <v>41</v>
      </c>
      <c r="D142" s="60" t="s">
        <v>8</v>
      </c>
      <c r="E142" s="52">
        <v>51</v>
      </c>
      <c r="F142" s="52">
        <v>51</v>
      </c>
      <c r="G142" s="52">
        <v>51</v>
      </c>
      <c r="H142" s="65">
        <f>1889082.84</f>
        <v>1889082.84</v>
      </c>
      <c r="I142" s="65">
        <f>1916388.24</f>
        <v>1916388.24</v>
      </c>
      <c r="J142" s="65">
        <f>1916388.24</f>
        <v>1916388.24</v>
      </c>
      <c r="K142" s="69">
        <f t="shared" si="6"/>
        <v>100</v>
      </c>
    </row>
    <row r="143" spans="1:11" s="49" customFormat="1" ht="42.75" x14ac:dyDescent="0.25">
      <c r="A143" s="47"/>
      <c r="B143" s="66" t="s">
        <v>210</v>
      </c>
      <c r="C143" s="50" t="s">
        <v>41</v>
      </c>
      <c r="D143" s="60" t="s">
        <v>8</v>
      </c>
      <c r="E143" s="52">
        <f>74+128+84</f>
        <v>286</v>
      </c>
      <c r="F143" s="52">
        <f>89+143+84</f>
        <v>316</v>
      </c>
      <c r="G143" s="52">
        <f>89+143+84</f>
        <v>316</v>
      </c>
      <c r="H143" s="65">
        <f>797693.36+1601510.4+600464.76</f>
        <v>2999668.5199999996</v>
      </c>
      <c r="I143" s="65">
        <f>1070190.29+1937322.53+764125.32</f>
        <v>3771638.14</v>
      </c>
      <c r="J143" s="65">
        <f>1070190.29+1937322.53+764125.32</f>
        <v>3771638.14</v>
      </c>
      <c r="K143" s="69">
        <f t="shared" si="6"/>
        <v>100</v>
      </c>
    </row>
    <row r="144" spans="1:11" s="49" customFormat="1" ht="42.75" x14ac:dyDescent="0.25">
      <c r="A144" s="47"/>
      <c r="B144" s="66" t="s">
        <v>211</v>
      </c>
      <c r="C144" s="50" t="s">
        <v>41</v>
      </c>
      <c r="D144" s="60" t="s">
        <v>8</v>
      </c>
      <c r="E144" s="52">
        <f>62+64+64</f>
        <v>190</v>
      </c>
      <c r="F144" s="52">
        <f>63+64+64</f>
        <v>191</v>
      </c>
      <c r="G144" s="52">
        <f>63+64+64</f>
        <v>191</v>
      </c>
      <c r="H144" s="65">
        <f>1786901.38+2005356.8+1075550.72</f>
        <v>4867808.8999999994</v>
      </c>
      <c r="I144" s="65">
        <f>2072126.7+1691985.92+1724176.64</f>
        <v>5488289.2599999998</v>
      </c>
      <c r="J144" s="65">
        <f>2072126.7+1691985.92+1724176.64</f>
        <v>5488289.2599999998</v>
      </c>
      <c r="K144" s="69">
        <f t="shared" si="6"/>
        <v>100</v>
      </c>
    </row>
    <row r="145" spans="1:11" s="49" customFormat="1" ht="42.75" x14ac:dyDescent="0.25">
      <c r="A145" s="47"/>
      <c r="B145" s="66" t="s">
        <v>212</v>
      </c>
      <c r="C145" s="50" t="s">
        <v>41</v>
      </c>
      <c r="D145" s="60" t="s">
        <v>8</v>
      </c>
      <c r="E145" s="52">
        <f>6+7+10</f>
        <v>23</v>
      </c>
      <c r="F145" s="52">
        <f>6+7+10</f>
        <v>23</v>
      </c>
      <c r="G145" s="52">
        <f>6+7+10</f>
        <v>23</v>
      </c>
      <c r="H145" s="65">
        <f>1460509.38+481081.09+368308</f>
        <v>2309898.4699999997</v>
      </c>
      <c r="I145" s="65">
        <f>1683869.7+441101.43+457586.8</f>
        <v>2582557.9299999997</v>
      </c>
      <c r="J145" s="65">
        <f>1683869.7+441101.43+457586.8</f>
        <v>2582557.9299999997</v>
      </c>
      <c r="K145" s="69">
        <f t="shared" si="6"/>
        <v>100</v>
      </c>
    </row>
    <row r="146" spans="1:11" s="49" customFormat="1" ht="42.75" x14ac:dyDescent="0.25">
      <c r="A146" s="47"/>
      <c r="B146" s="66" t="s">
        <v>213</v>
      </c>
      <c r="C146" s="50" t="s">
        <v>41</v>
      </c>
      <c r="D146" s="60" t="s">
        <v>8</v>
      </c>
      <c r="E146" s="52">
        <v>5</v>
      </c>
      <c r="F146" s="52">
        <v>5</v>
      </c>
      <c r="G146" s="52">
        <v>5</v>
      </c>
      <c r="H146" s="65">
        <v>578365.19999999995</v>
      </c>
      <c r="I146" s="65">
        <v>339291.55</v>
      </c>
      <c r="J146" s="65">
        <v>339291.55</v>
      </c>
      <c r="K146" s="69">
        <f t="shared" si="6"/>
        <v>100</v>
      </c>
    </row>
    <row r="147" spans="1:11" s="49" customFormat="1" ht="42.75" x14ac:dyDescent="0.25">
      <c r="A147" s="47"/>
      <c r="B147" s="66" t="s">
        <v>214</v>
      </c>
      <c r="C147" s="50" t="s">
        <v>41</v>
      </c>
      <c r="D147" s="60" t="s">
        <v>8</v>
      </c>
      <c r="E147" s="52">
        <v>118</v>
      </c>
      <c r="F147" s="52">
        <v>97</v>
      </c>
      <c r="G147" s="52">
        <v>97</v>
      </c>
      <c r="H147" s="65">
        <v>1598188.46</v>
      </c>
      <c r="I147" s="65">
        <v>1363562.95</v>
      </c>
      <c r="J147" s="65">
        <v>1363562.95</v>
      </c>
      <c r="K147" s="69">
        <f t="shared" si="6"/>
        <v>100</v>
      </c>
    </row>
    <row r="148" spans="1:11" s="49" customFormat="1" ht="42.75" x14ac:dyDescent="0.25">
      <c r="A148" s="47"/>
      <c r="B148" s="66" t="s">
        <v>215</v>
      </c>
      <c r="C148" s="50" t="s">
        <v>41</v>
      </c>
      <c r="D148" s="60" t="s">
        <v>8</v>
      </c>
      <c r="E148" s="52">
        <v>55</v>
      </c>
      <c r="F148" s="52">
        <v>29</v>
      </c>
      <c r="G148" s="52">
        <v>29</v>
      </c>
      <c r="H148" s="65">
        <v>1822978.85</v>
      </c>
      <c r="I148" s="65">
        <v>749033.46</v>
      </c>
      <c r="J148" s="65">
        <v>749033.46</v>
      </c>
      <c r="K148" s="69">
        <f t="shared" si="6"/>
        <v>100</v>
      </c>
    </row>
    <row r="149" spans="1:11" s="49" customFormat="1" ht="42.75" x14ac:dyDescent="0.25">
      <c r="A149" s="47"/>
      <c r="B149" s="66" t="s">
        <v>216</v>
      </c>
      <c r="C149" s="50" t="s">
        <v>41</v>
      </c>
      <c r="D149" s="60" t="s">
        <v>8</v>
      </c>
      <c r="E149" s="52">
        <f>10+36</f>
        <v>46</v>
      </c>
      <c r="F149" s="52">
        <f>10+36</f>
        <v>46</v>
      </c>
      <c r="G149" s="52">
        <f>10+36</f>
        <v>46</v>
      </c>
      <c r="H149" s="65">
        <f>148124.2+720412.92</f>
        <v>868537.12000000011</v>
      </c>
      <c r="I149" s="65">
        <f>174427.4+757090.44</f>
        <v>931517.84</v>
      </c>
      <c r="J149" s="65">
        <f>174427.4+757090.44</f>
        <v>931517.84</v>
      </c>
      <c r="K149" s="69">
        <f t="shared" si="6"/>
        <v>100</v>
      </c>
    </row>
    <row r="150" spans="1:11" s="49" customFormat="1" ht="42.75" x14ac:dyDescent="0.25">
      <c r="A150" s="47"/>
      <c r="B150" s="66" t="s">
        <v>217</v>
      </c>
      <c r="C150" s="50" t="s">
        <v>41</v>
      </c>
      <c r="D150" s="60" t="s">
        <v>8</v>
      </c>
      <c r="E150" s="52">
        <f>23+22</f>
        <v>45</v>
      </c>
      <c r="F150" s="52">
        <f>23+22</f>
        <v>45</v>
      </c>
      <c r="G150" s="52">
        <f>23+22</f>
        <v>45</v>
      </c>
      <c r="H150" s="65">
        <f>617093.68+674139.84</f>
        <v>1291233.52</v>
      </c>
      <c r="I150" s="65">
        <f>514684.34+696553.88</f>
        <v>1211238.22</v>
      </c>
      <c r="J150" s="65">
        <f>514684.34+696553.88</f>
        <v>1211238.22</v>
      </c>
      <c r="K150" s="69">
        <f t="shared" si="6"/>
        <v>100</v>
      </c>
    </row>
    <row r="151" spans="1:11" s="49" customFormat="1" ht="42.75" x14ac:dyDescent="0.25">
      <c r="A151" s="47"/>
      <c r="B151" s="66" t="s">
        <v>218</v>
      </c>
      <c r="C151" s="50" t="s">
        <v>41</v>
      </c>
      <c r="D151" s="60" t="s">
        <v>8</v>
      </c>
      <c r="E151" s="52">
        <v>9</v>
      </c>
      <c r="F151" s="52">
        <v>9</v>
      </c>
      <c r="G151" s="52">
        <v>9</v>
      </c>
      <c r="H151" s="65">
        <v>784643.13</v>
      </c>
      <c r="I151" s="65">
        <v>793812.51</v>
      </c>
      <c r="J151" s="65">
        <v>793812.51</v>
      </c>
      <c r="K151" s="69">
        <f t="shared" si="6"/>
        <v>100</v>
      </c>
    </row>
    <row r="152" spans="1:11" s="49" customFormat="1" ht="42.75" x14ac:dyDescent="0.25">
      <c r="A152" s="47"/>
      <c r="B152" s="66" t="s">
        <v>219</v>
      </c>
      <c r="C152" s="50" t="s">
        <v>41</v>
      </c>
      <c r="D152" s="60" t="s">
        <v>8</v>
      </c>
      <c r="E152" s="52">
        <f>454+10</f>
        <v>464</v>
      </c>
      <c r="F152" s="52">
        <f>650+10</f>
        <v>660</v>
      </c>
      <c r="G152" s="52">
        <f>650+10</f>
        <v>660</v>
      </c>
      <c r="H152" s="65">
        <f>5191903.15+54314.1</f>
        <v>5246217.25</v>
      </c>
      <c r="I152" s="65">
        <f>7217892.5+54314.1</f>
        <v>7272206.5999999996</v>
      </c>
      <c r="J152" s="65">
        <f>7217892.5+54314.1</f>
        <v>7272206.5999999996</v>
      </c>
      <c r="K152" s="69">
        <f t="shared" si="6"/>
        <v>100</v>
      </c>
    </row>
    <row r="153" spans="1:11" s="49" customFormat="1" ht="42.75" x14ac:dyDescent="0.25">
      <c r="A153" s="47"/>
      <c r="B153" s="66" t="s">
        <v>220</v>
      </c>
      <c r="C153" s="50" t="s">
        <v>41</v>
      </c>
      <c r="D153" s="60" t="s">
        <v>8</v>
      </c>
      <c r="E153" s="52">
        <f>12+132+12</f>
        <v>156</v>
      </c>
      <c r="F153" s="52">
        <f>12+132+12</f>
        <v>156</v>
      </c>
      <c r="G153" s="52">
        <f>12+132+12</f>
        <v>156</v>
      </c>
      <c r="H153" s="65">
        <f>365405.88+2970864.6+162763.08</f>
        <v>3499033.56</v>
      </c>
      <c r="I153" s="65">
        <f>343775.16+2437477.7+162763.08</f>
        <v>2944015.9400000004</v>
      </c>
      <c r="J153" s="65">
        <f>343775.16+2437477.7+162763.08</f>
        <v>2944015.9400000004</v>
      </c>
      <c r="K153" s="69">
        <f t="shared" si="6"/>
        <v>100</v>
      </c>
    </row>
    <row r="154" spans="1:11" s="49" customFormat="1" ht="42.75" x14ac:dyDescent="0.25">
      <c r="A154" s="47"/>
      <c r="B154" s="66" t="s">
        <v>221</v>
      </c>
      <c r="C154" s="50" t="s">
        <v>41</v>
      </c>
      <c r="D154" s="60" t="s">
        <v>8</v>
      </c>
      <c r="E154" s="52">
        <v>5</v>
      </c>
      <c r="F154" s="52">
        <v>5</v>
      </c>
      <c r="G154" s="52">
        <v>5</v>
      </c>
      <c r="H154" s="65">
        <v>185105</v>
      </c>
      <c r="I154" s="65">
        <v>165028.6</v>
      </c>
      <c r="J154" s="65">
        <v>165028.6</v>
      </c>
      <c r="K154" s="69">
        <f t="shared" si="6"/>
        <v>100</v>
      </c>
    </row>
    <row r="155" spans="1:11" s="49" customFormat="1" ht="42.75" x14ac:dyDescent="0.25">
      <c r="A155" s="47"/>
      <c r="B155" s="66" t="s">
        <v>222</v>
      </c>
      <c r="C155" s="50" t="s">
        <v>41</v>
      </c>
      <c r="D155" s="60" t="s">
        <v>8</v>
      </c>
      <c r="E155" s="52">
        <f>29+32</f>
        <v>61</v>
      </c>
      <c r="F155" s="52">
        <f>29+32</f>
        <v>61</v>
      </c>
      <c r="G155" s="52">
        <f>29+32</f>
        <v>61</v>
      </c>
      <c r="H155" s="65">
        <f>413915.84+412685.12</f>
        <v>826600.95999999996</v>
      </c>
      <c r="I155" s="65">
        <f>426271+368853.44</f>
        <v>795124.44</v>
      </c>
      <c r="J155" s="65">
        <f>426271+368853.44</f>
        <v>795124.44</v>
      </c>
      <c r="K155" s="69">
        <f t="shared" si="6"/>
        <v>100</v>
      </c>
    </row>
    <row r="156" spans="1:11" s="49" customFormat="1" ht="42.75" x14ac:dyDescent="0.25">
      <c r="A156" s="47"/>
      <c r="B156" s="66" t="s">
        <v>223</v>
      </c>
      <c r="C156" s="50" t="s">
        <v>41</v>
      </c>
      <c r="D156" s="60" t="s">
        <v>8</v>
      </c>
      <c r="E156" s="52">
        <f>26+13</f>
        <v>39</v>
      </c>
      <c r="F156" s="52">
        <f>26+13</f>
        <v>39</v>
      </c>
      <c r="G156" s="52">
        <f>26+13</f>
        <v>39</v>
      </c>
      <c r="H156" s="65">
        <f>654023.5+285672.53</f>
        <v>939696.03</v>
      </c>
      <c r="I156" s="65">
        <f>665100.8+218335.78</f>
        <v>883436.58000000007</v>
      </c>
      <c r="J156" s="65">
        <f>665100.8+218335.78</f>
        <v>883436.58000000007</v>
      </c>
      <c r="K156" s="69">
        <f t="shared" si="6"/>
        <v>100</v>
      </c>
    </row>
    <row r="157" spans="1:11" s="49" customFormat="1" ht="42.75" x14ac:dyDescent="0.25">
      <c r="A157" s="47"/>
      <c r="B157" s="66" t="s">
        <v>224</v>
      </c>
      <c r="C157" s="50" t="s">
        <v>41</v>
      </c>
      <c r="D157" s="60" t="s">
        <v>8</v>
      </c>
      <c r="E157" s="52">
        <f>3</f>
        <v>3</v>
      </c>
      <c r="F157" s="52">
        <f>3</f>
        <v>3</v>
      </c>
      <c r="G157" s="52">
        <f>3</f>
        <v>3</v>
      </c>
      <c r="H157" s="65">
        <f>145626.45</f>
        <v>145626.45000000001</v>
      </c>
      <c r="I157" s="65">
        <f>146908.35</f>
        <v>146908.35</v>
      </c>
      <c r="J157" s="65">
        <f>146908.35</f>
        <v>146908.35</v>
      </c>
      <c r="K157" s="69">
        <f t="shared" si="6"/>
        <v>100</v>
      </c>
    </row>
    <row r="158" spans="1:11" s="49" customFormat="1" ht="42.75" x14ac:dyDescent="0.25">
      <c r="A158" s="47"/>
      <c r="B158" s="66" t="s">
        <v>225</v>
      </c>
      <c r="C158" s="50" t="s">
        <v>41</v>
      </c>
      <c r="D158" s="60" t="s">
        <v>8</v>
      </c>
      <c r="E158" s="52">
        <v>12</v>
      </c>
      <c r="F158" s="52">
        <v>36</v>
      </c>
      <c r="G158" s="52">
        <v>36</v>
      </c>
      <c r="H158" s="65">
        <v>164399.16</v>
      </c>
      <c r="I158" s="65">
        <v>412905.96</v>
      </c>
      <c r="J158" s="65">
        <v>412905.96</v>
      </c>
      <c r="K158" s="69">
        <f t="shared" si="6"/>
        <v>100</v>
      </c>
    </row>
    <row r="159" spans="1:11" s="49" customFormat="1" ht="42.75" x14ac:dyDescent="0.25">
      <c r="A159" s="47"/>
      <c r="B159" s="66" t="s">
        <v>226</v>
      </c>
      <c r="C159" s="50" t="s">
        <v>41</v>
      </c>
      <c r="D159" s="60" t="s">
        <v>8</v>
      </c>
      <c r="E159" s="52">
        <v>331</v>
      </c>
      <c r="F159" s="52">
        <f>18+331</f>
        <v>349</v>
      </c>
      <c r="G159" s="52">
        <f>18+331</f>
        <v>349</v>
      </c>
      <c r="H159" s="65">
        <v>4142610.64</v>
      </c>
      <c r="I159" s="65">
        <f>297836.82+4283629.88</f>
        <v>4581466.7</v>
      </c>
      <c r="J159" s="65">
        <f>297836.82+4283629.88</f>
        <v>4581466.7</v>
      </c>
      <c r="K159" s="69">
        <f t="shared" si="6"/>
        <v>100</v>
      </c>
    </row>
    <row r="160" spans="1:11" s="49" customFormat="1" ht="42.75" x14ac:dyDescent="0.25">
      <c r="A160" s="47"/>
      <c r="B160" s="66" t="s">
        <v>227</v>
      </c>
      <c r="C160" s="50" t="s">
        <v>41</v>
      </c>
      <c r="D160" s="60" t="s">
        <v>8</v>
      </c>
      <c r="E160" s="52">
        <v>303</v>
      </c>
      <c r="F160" s="52">
        <f>17+303</f>
        <v>320</v>
      </c>
      <c r="G160" s="52">
        <f>17+303</f>
        <v>320</v>
      </c>
      <c r="H160" s="65">
        <v>6314426.0700000003</v>
      </c>
      <c r="I160" s="65">
        <f>510109.99+6443516.19</f>
        <v>6953626.1800000006</v>
      </c>
      <c r="J160" s="65">
        <f>510109.99+6443516.19</f>
        <v>6953626.1800000006</v>
      </c>
      <c r="K160" s="69">
        <f t="shared" si="6"/>
        <v>100</v>
      </c>
    </row>
    <row r="161" spans="1:11" s="49" customFormat="1" ht="42.75" x14ac:dyDescent="0.25">
      <c r="A161" s="47"/>
      <c r="B161" s="66" t="s">
        <v>228</v>
      </c>
      <c r="C161" s="50" t="s">
        <v>41</v>
      </c>
      <c r="D161" s="60" t="s">
        <v>8</v>
      </c>
      <c r="E161" s="52">
        <v>10</v>
      </c>
      <c r="F161" s="52">
        <v>10</v>
      </c>
      <c r="G161" s="52">
        <v>10</v>
      </c>
      <c r="H161" s="65">
        <v>612021.9</v>
      </c>
      <c r="I161" s="65">
        <v>616282.30000000005</v>
      </c>
      <c r="J161" s="65">
        <v>616282.30000000005</v>
      </c>
      <c r="K161" s="69">
        <f t="shared" si="6"/>
        <v>100</v>
      </c>
    </row>
    <row r="162" spans="1:11" s="49" customFormat="1" ht="42.75" x14ac:dyDescent="0.25">
      <c r="A162" s="47"/>
      <c r="B162" s="66" t="s">
        <v>229</v>
      </c>
      <c r="C162" s="50" t="s">
        <v>41</v>
      </c>
      <c r="D162" s="60" t="s">
        <v>8</v>
      </c>
      <c r="E162" s="52">
        <v>42</v>
      </c>
      <c r="F162" s="52">
        <v>42</v>
      </c>
      <c r="G162" s="52">
        <v>42</v>
      </c>
      <c r="H162" s="65">
        <v>754776.12</v>
      </c>
      <c r="I162" s="65">
        <v>797566.56</v>
      </c>
      <c r="J162" s="65">
        <v>797566.56</v>
      </c>
      <c r="K162" s="69">
        <f t="shared" si="6"/>
        <v>100</v>
      </c>
    </row>
    <row r="163" spans="1:11" s="49" customFormat="1" ht="42.75" x14ac:dyDescent="0.25">
      <c r="A163" s="47"/>
      <c r="B163" s="66" t="s">
        <v>230</v>
      </c>
      <c r="C163" s="50" t="s">
        <v>41</v>
      </c>
      <c r="D163" s="60" t="s">
        <v>8</v>
      </c>
      <c r="E163" s="52">
        <v>15</v>
      </c>
      <c r="F163" s="52">
        <v>15</v>
      </c>
      <c r="G163" s="52">
        <v>15</v>
      </c>
      <c r="H163" s="65">
        <v>358416.45</v>
      </c>
      <c r="I163" s="65">
        <v>373698.6</v>
      </c>
      <c r="J163" s="65">
        <v>373698.6</v>
      </c>
      <c r="K163" s="69">
        <f t="shared" si="6"/>
        <v>100</v>
      </c>
    </row>
    <row r="164" spans="1:11" s="49" customFormat="1" ht="42.75" x14ac:dyDescent="0.25">
      <c r="A164" s="47"/>
      <c r="B164" s="66" t="s">
        <v>231</v>
      </c>
      <c r="C164" s="50" t="s">
        <v>41</v>
      </c>
      <c r="D164" s="60" t="s">
        <v>8</v>
      </c>
      <c r="E164" s="52">
        <v>25</v>
      </c>
      <c r="F164" s="52">
        <v>25</v>
      </c>
      <c r="G164" s="52">
        <v>25</v>
      </c>
      <c r="H164" s="65">
        <v>149131.5</v>
      </c>
      <c r="I164" s="65">
        <v>168390.5</v>
      </c>
      <c r="J164" s="65">
        <v>168390.5</v>
      </c>
      <c r="K164" s="69">
        <f t="shared" si="6"/>
        <v>100</v>
      </c>
    </row>
    <row r="165" spans="1:11" s="49" customFormat="1" ht="42.75" x14ac:dyDescent="0.25">
      <c r="A165" s="47"/>
      <c r="B165" s="66" t="s">
        <v>232</v>
      </c>
      <c r="C165" s="50" t="s">
        <v>41</v>
      </c>
      <c r="D165" s="60" t="s">
        <v>8</v>
      </c>
      <c r="E165" s="52">
        <v>8</v>
      </c>
      <c r="F165" s="52">
        <v>8</v>
      </c>
      <c r="G165" s="52">
        <v>8</v>
      </c>
      <c r="H165" s="65">
        <v>213297.77</v>
      </c>
      <c r="I165" s="65">
        <v>219537.5</v>
      </c>
      <c r="J165" s="65">
        <v>219537.5</v>
      </c>
      <c r="K165" s="69">
        <f t="shared" si="6"/>
        <v>100</v>
      </c>
    </row>
    <row r="166" spans="1:11" s="49" customFormat="1" ht="42.75" x14ac:dyDescent="0.25">
      <c r="A166" s="47"/>
      <c r="B166" s="66" t="s">
        <v>233</v>
      </c>
      <c r="C166" s="50" t="s">
        <v>41</v>
      </c>
      <c r="D166" s="60" t="s">
        <v>8</v>
      </c>
      <c r="E166" s="52">
        <v>29</v>
      </c>
      <c r="F166" s="52">
        <v>29</v>
      </c>
      <c r="G166" s="52">
        <v>29</v>
      </c>
      <c r="H166" s="65">
        <v>139854.82</v>
      </c>
      <c r="I166" s="65">
        <v>162050.54999999999</v>
      </c>
      <c r="J166" s="65">
        <v>162050.54999999999</v>
      </c>
      <c r="K166" s="69">
        <f t="shared" si="6"/>
        <v>100</v>
      </c>
    </row>
    <row r="167" spans="1:11" s="49" customFormat="1" ht="42.75" x14ac:dyDescent="0.25">
      <c r="A167" s="47"/>
      <c r="B167" s="66" t="s">
        <v>234</v>
      </c>
      <c r="C167" s="50" t="s">
        <v>41</v>
      </c>
      <c r="D167" s="60" t="s">
        <v>8</v>
      </c>
      <c r="E167" s="52">
        <v>95</v>
      </c>
      <c r="F167" s="52">
        <v>95</v>
      </c>
      <c r="G167" s="52">
        <v>95</v>
      </c>
      <c r="H167" s="65">
        <v>3642313.3</v>
      </c>
      <c r="I167" s="65">
        <v>3715562.1</v>
      </c>
      <c r="J167" s="65">
        <v>3715562.1</v>
      </c>
      <c r="K167" s="69">
        <f t="shared" si="6"/>
        <v>100</v>
      </c>
    </row>
    <row r="168" spans="1:11" s="49" customFormat="1" ht="42.75" x14ac:dyDescent="0.25">
      <c r="A168" s="47"/>
      <c r="B168" s="66" t="s">
        <v>235</v>
      </c>
      <c r="C168" s="50" t="s">
        <v>41</v>
      </c>
      <c r="D168" s="60" t="s">
        <v>8</v>
      </c>
      <c r="E168" s="52">
        <v>3</v>
      </c>
      <c r="F168" s="52">
        <v>3</v>
      </c>
      <c r="G168" s="52">
        <v>3</v>
      </c>
      <c r="H168" s="65">
        <v>284976.27</v>
      </c>
      <c r="I168" s="65">
        <v>287287.34999999998</v>
      </c>
      <c r="J168" s="65">
        <v>287287.34999999998</v>
      </c>
      <c r="K168" s="69">
        <f t="shared" si="6"/>
        <v>100</v>
      </c>
    </row>
    <row r="169" spans="1:11" s="49" customFormat="1" ht="42.75" x14ac:dyDescent="0.25">
      <c r="A169" s="47"/>
      <c r="B169" s="66" t="s">
        <v>236</v>
      </c>
      <c r="C169" s="50" t="s">
        <v>41</v>
      </c>
      <c r="D169" s="60" t="s">
        <v>8</v>
      </c>
      <c r="E169" s="52">
        <v>60</v>
      </c>
      <c r="F169" s="52">
        <v>60</v>
      </c>
      <c r="G169" s="52">
        <v>60</v>
      </c>
      <c r="H169" s="65">
        <v>1886733.77</v>
      </c>
      <c r="I169" s="65">
        <v>1835745.6</v>
      </c>
      <c r="J169" s="65">
        <v>1835745.6</v>
      </c>
      <c r="K169" s="69">
        <f t="shared" si="6"/>
        <v>100</v>
      </c>
    </row>
    <row r="170" spans="1:11" s="49" customFormat="1" ht="42.75" x14ac:dyDescent="0.25">
      <c r="A170" s="47"/>
      <c r="B170" s="66" t="s">
        <v>237</v>
      </c>
      <c r="C170" s="50" t="s">
        <v>41</v>
      </c>
      <c r="D170" s="60" t="s">
        <v>8</v>
      </c>
      <c r="E170" s="52">
        <v>102</v>
      </c>
      <c r="F170" s="52">
        <v>136</v>
      </c>
      <c r="G170" s="52">
        <v>136</v>
      </c>
      <c r="H170" s="65">
        <v>3026952.21</v>
      </c>
      <c r="I170" s="65">
        <v>3799566.64</v>
      </c>
      <c r="J170" s="65">
        <v>3799566.64</v>
      </c>
      <c r="K170" s="69">
        <f t="shared" si="6"/>
        <v>100</v>
      </c>
    </row>
    <row r="171" spans="1:11" s="49" customFormat="1" ht="42.75" x14ac:dyDescent="0.25">
      <c r="A171" s="47"/>
      <c r="B171" s="66" t="s">
        <v>238</v>
      </c>
      <c r="C171" s="50" t="s">
        <v>41</v>
      </c>
      <c r="D171" s="60" t="s">
        <v>8</v>
      </c>
      <c r="E171" s="52">
        <v>85</v>
      </c>
      <c r="F171" s="52">
        <v>85</v>
      </c>
      <c r="G171" s="52">
        <v>85</v>
      </c>
      <c r="H171" s="65">
        <v>3925364.13</v>
      </c>
      <c r="I171" s="65">
        <v>3853130.75</v>
      </c>
      <c r="J171" s="65">
        <v>3853130.75</v>
      </c>
      <c r="K171" s="69">
        <f t="shared" si="6"/>
        <v>100</v>
      </c>
    </row>
    <row r="172" spans="1:11" s="49" customFormat="1" ht="42.75" x14ac:dyDescent="0.25">
      <c r="A172" s="47"/>
      <c r="B172" s="66" t="s">
        <v>239</v>
      </c>
      <c r="C172" s="50" t="s">
        <v>41</v>
      </c>
      <c r="D172" s="60" t="s">
        <v>8</v>
      </c>
      <c r="E172" s="52">
        <v>10</v>
      </c>
      <c r="F172" s="52">
        <v>10</v>
      </c>
      <c r="G172" s="52">
        <v>10</v>
      </c>
      <c r="H172" s="65">
        <v>1196694.99</v>
      </c>
      <c r="I172" s="65">
        <v>1188196.8</v>
      </c>
      <c r="J172" s="65">
        <v>1188196.8</v>
      </c>
      <c r="K172" s="69">
        <f t="shared" si="6"/>
        <v>100</v>
      </c>
    </row>
    <row r="173" spans="1:11" s="49" customFormat="1" ht="42.75" x14ac:dyDescent="0.25">
      <c r="A173" s="47"/>
      <c r="B173" s="66" t="s">
        <v>240</v>
      </c>
      <c r="C173" s="50" t="s">
        <v>41</v>
      </c>
      <c r="D173" s="60" t="s">
        <v>8</v>
      </c>
      <c r="E173" s="52">
        <f>43+30</f>
        <v>73</v>
      </c>
      <c r="F173" s="52">
        <f>43+30</f>
        <v>73</v>
      </c>
      <c r="G173" s="52">
        <f>43+30</f>
        <v>73</v>
      </c>
      <c r="H173" s="65">
        <f>1265772.47+124541.7</f>
        <v>1390314.17</v>
      </c>
      <c r="I173" s="65">
        <f>1229230.68+346674.6</f>
        <v>1575905.2799999998</v>
      </c>
      <c r="J173" s="65">
        <f>1229230.68+346674.6</f>
        <v>1575905.2799999998</v>
      </c>
      <c r="K173" s="69">
        <f t="shared" si="6"/>
        <v>100</v>
      </c>
    </row>
    <row r="174" spans="1:11" s="49" customFormat="1" ht="42.75" x14ac:dyDescent="0.25">
      <c r="A174" s="47"/>
      <c r="B174" s="66" t="s">
        <v>240</v>
      </c>
      <c r="C174" s="50" t="s">
        <v>41</v>
      </c>
      <c r="D174" s="60" t="s">
        <v>8</v>
      </c>
      <c r="E174" s="52">
        <f>11+21</f>
        <v>32</v>
      </c>
      <c r="F174" s="52">
        <f>11+21</f>
        <v>32</v>
      </c>
      <c r="G174" s="52">
        <f>11+21</f>
        <v>32</v>
      </c>
      <c r="H174" s="65">
        <f>498827.35+200973.78</f>
        <v>699801.13</v>
      </c>
      <c r="I174" s="65">
        <f>489479.54+452832.66</f>
        <v>942312.2</v>
      </c>
      <c r="J174" s="65">
        <f>489479.54+452832.66</f>
        <v>942312.2</v>
      </c>
      <c r="K174" s="69">
        <f t="shared" si="6"/>
        <v>100</v>
      </c>
    </row>
    <row r="175" spans="1:11" s="49" customFormat="1" ht="42.75" x14ac:dyDescent="0.25">
      <c r="A175" s="47"/>
      <c r="B175" s="66" t="s">
        <v>241</v>
      </c>
      <c r="C175" s="50" t="s">
        <v>41</v>
      </c>
      <c r="D175" s="60" t="s">
        <v>8</v>
      </c>
      <c r="E175" s="52">
        <v>40</v>
      </c>
      <c r="F175" s="52">
        <v>0</v>
      </c>
      <c r="G175" s="52">
        <v>0</v>
      </c>
      <c r="H175" s="65">
        <v>444006.40000000002</v>
      </c>
      <c r="I175" s="65">
        <v>0</v>
      </c>
      <c r="J175" s="65">
        <v>0</v>
      </c>
      <c r="K175" s="69">
        <v>0</v>
      </c>
    </row>
    <row r="176" spans="1:11" ht="47.25" x14ac:dyDescent="0.25">
      <c r="A176" s="30" t="s">
        <v>38</v>
      </c>
      <c r="B176" s="32" t="s">
        <v>43</v>
      </c>
      <c r="C176" s="28" t="s">
        <v>41</v>
      </c>
      <c r="D176" s="33" t="s">
        <v>8</v>
      </c>
      <c r="E176" s="70" t="s">
        <v>44</v>
      </c>
      <c r="F176" s="70" t="s">
        <v>243</v>
      </c>
      <c r="G176" s="70" t="s">
        <v>244</v>
      </c>
      <c r="H176" s="29">
        <f>SUM(H177:H178)</f>
        <v>1722141.27</v>
      </c>
      <c r="I176" s="29">
        <f t="shared" ref="I176:J176" si="13">SUM(I177:I178)</f>
        <v>1782251.65</v>
      </c>
      <c r="J176" s="29">
        <f t="shared" si="13"/>
        <v>1782251.65</v>
      </c>
      <c r="K176" s="27">
        <f t="shared" si="6"/>
        <v>100</v>
      </c>
    </row>
    <row r="177" spans="1:11" s="49" customFormat="1" ht="42.75" x14ac:dyDescent="0.25">
      <c r="A177" s="47" t="s">
        <v>245</v>
      </c>
      <c r="B177" s="66" t="s">
        <v>199</v>
      </c>
      <c r="C177" s="50" t="s">
        <v>41</v>
      </c>
      <c r="D177" s="60" t="s">
        <v>8</v>
      </c>
      <c r="E177" s="52">
        <v>40</v>
      </c>
      <c r="F177" s="52">
        <v>40</v>
      </c>
      <c r="G177" s="52">
        <v>40</v>
      </c>
      <c r="H177" s="71">
        <v>850084.4</v>
      </c>
      <c r="I177" s="71">
        <v>890837.2</v>
      </c>
      <c r="J177" s="71">
        <v>890837.2</v>
      </c>
      <c r="K177" s="54">
        <v>100</v>
      </c>
    </row>
    <row r="178" spans="1:11" s="49" customFormat="1" ht="42.75" x14ac:dyDescent="0.25">
      <c r="A178" s="47"/>
      <c r="B178" s="66" t="s">
        <v>242</v>
      </c>
      <c r="C178" s="50" t="s">
        <v>41</v>
      </c>
      <c r="D178" s="60" t="s">
        <v>8</v>
      </c>
      <c r="E178" s="52">
        <v>19</v>
      </c>
      <c r="F178" s="52">
        <v>19</v>
      </c>
      <c r="G178" s="52">
        <v>19</v>
      </c>
      <c r="H178" s="71">
        <v>872056.87</v>
      </c>
      <c r="I178" s="71">
        <v>891414.45</v>
      </c>
      <c r="J178" s="71">
        <v>891414.45</v>
      </c>
      <c r="K178" s="54">
        <v>100</v>
      </c>
    </row>
    <row r="179" spans="1:11" x14ac:dyDescent="0.25">
      <c r="A179" s="30" t="s">
        <v>38</v>
      </c>
      <c r="B179" s="32" t="s">
        <v>45</v>
      </c>
      <c r="C179" s="28" t="s">
        <v>46</v>
      </c>
      <c r="D179" s="33" t="s">
        <v>47</v>
      </c>
      <c r="E179" s="31">
        <v>164980</v>
      </c>
      <c r="F179" s="31">
        <v>186980</v>
      </c>
      <c r="G179" s="31">
        <v>186980</v>
      </c>
      <c r="H179" s="34">
        <v>43015546.969999999</v>
      </c>
      <c r="I179" s="34">
        <v>42941914.329999998</v>
      </c>
      <c r="J179" s="34">
        <v>42941914.329999998</v>
      </c>
      <c r="K179" s="27">
        <f t="shared" si="6"/>
        <v>100</v>
      </c>
    </row>
    <row r="180" spans="1:11" ht="31.5" x14ac:dyDescent="0.25">
      <c r="A180" s="30" t="s">
        <v>38</v>
      </c>
      <c r="B180" s="32" t="s">
        <v>48</v>
      </c>
      <c r="C180" s="28" t="s">
        <v>26</v>
      </c>
      <c r="D180" s="28" t="s">
        <v>49</v>
      </c>
      <c r="E180" s="31">
        <v>87</v>
      </c>
      <c r="F180" s="31">
        <v>84</v>
      </c>
      <c r="G180" s="31">
        <v>84</v>
      </c>
      <c r="H180" s="34">
        <v>1347269.51</v>
      </c>
      <c r="I180" s="34">
        <v>1347269.51</v>
      </c>
      <c r="J180" s="34">
        <v>1347269.51</v>
      </c>
      <c r="K180" s="27">
        <f t="shared" si="6"/>
        <v>100</v>
      </c>
    </row>
    <row r="181" spans="1:11" ht="30.75" customHeight="1" x14ac:dyDescent="0.25">
      <c r="A181" s="20"/>
      <c r="B181" s="21" t="s">
        <v>124</v>
      </c>
      <c r="C181" s="20"/>
      <c r="D181" s="20"/>
      <c r="E181" s="22"/>
      <c r="F181" s="20"/>
      <c r="G181" s="20"/>
      <c r="H181" s="22">
        <f>H6+H11+H53+H65+H77+H80</f>
        <v>6463264330.3599987</v>
      </c>
      <c r="I181" s="22">
        <f>I6+I11+I53+I65+I77+I80</f>
        <v>7312883001.29</v>
      </c>
      <c r="J181" s="22">
        <f>J6+J11+J53+J65+J77+J80</f>
        <v>7312883001.29</v>
      </c>
      <c r="K181" s="26">
        <f t="shared" si="6"/>
        <v>100</v>
      </c>
    </row>
    <row r="184" spans="1:11" x14ac:dyDescent="0.25">
      <c r="I184" s="12"/>
      <c r="J184" s="12"/>
    </row>
  </sheetData>
  <mergeCells count="29">
    <mergeCell ref="K8:K9"/>
    <mergeCell ref="A8:A9"/>
    <mergeCell ref="B8:B9"/>
    <mergeCell ref="H8:H9"/>
    <mergeCell ref="I8:I9"/>
    <mergeCell ref="J8:J9"/>
    <mergeCell ref="A2:K2"/>
    <mergeCell ref="K4:K5"/>
    <mergeCell ref="H4:J4"/>
    <mergeCell ref="A4:A5"/>
    <mergeCell ref="B4:B5"/>
    <mergeCell ref="C4:C5"/>
    <mergeCell ref="D4:D5"/>
    <mergeCell ref="E4:E5"/>
    <mergeCell ref="F4:F5"/>
    <mergeCell ref="G4:G5"/>
    <mergeCell ref="L80:L84"/>
    <mergeCell ref="J66:J71"/>
    <mergeCell ref="K66:K71"/>
    <mergeCell ref="A72:A74"/>
    <mergeCell ref="B72:B74"/>
    <mergeCell ref="H72:H74"/>
    <mergeCell ref="I72:I74"/>
    <mergeCell ref="J72:J74"/>
    <mergeCell ref="K72:K74"/>
    <mergeCell ref="A66:A71"/>
    <mergeCell ref="B66:B71"/>
    <mergeCell ref="H66:H71"/>
    <mergeCell ref="I66:I71"/>
  </mergeCells>
  <dataValidations count="1">
    <dataValidation type="custom" allowBlank="1" showInputMessage="1" showErrorMessage="1" error="Только числовые значения." sqref="H83:J85 H179:J179">
      <formula1>ISNUMBER(H83)=TRUE</formula1>
    </dataValidation>
  </dataValidations>
  <pageMargins left="0.23" right="0.15748031496062992" top="0.4" bottom="0.51" header="0.17" footer="0.31496062992125984"/>
  <pageSetup paperSize="9" scale="5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Варульникова С.</dc:creator>
  <cp:lastModifiedBy>Анна В. Цурган</cp:lastModifiedBy>
  <cp:lastPrinted>2021-05-20T13:11:01Z</cp:lastPrinted>
  <dcterms:created xsi:type="dcterms:W3CDTF">2021-05-20T06:20:03Z</dcterms:created>
  <dcterms:modified xsi:type="dcterms:W3CDTF">2023-05-30T14:38:53Z</dcterms:modified>
</cp:coreProperties>
</file>