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360" windowWidth="18195" windowHeight="9765"/>
  </bookViews>
  <sheets>
    <sheet name="2021 - 2025" sheetId="7" r:id="rId1"/>
  </sheets>
  <definedNames>
    <definedName name="_xlnm._FilterDatabase" localSheetId="0" hidden="1">'2021 - 2025'!$A$3:$M$201</definedName>
  </definedNames>
  <calcPr calcId="145621"/>
</workbook>
</file>

<file path=xl/calcChain.xml><?xml version="1.0" encoding="utf-8"?>
<calcChain xmlns="http://schemas.openxmlformats.org/spreadsheetml/2006/main">
  <c r="J77" i="7" l="1"/>
  <c r="K77" i="7"/>
  <c r="L77" i="7"/>
  <c r="M77" i="7"/>
  <c r="I77" i="7"/>
  <c r="J9" i="7" l="1"/>
  <c r="L9" i="7"/>
  <c r="I9" i="7"/>
  <c r="M27" i="7" l="1"/>
  <c r="M9" i="7" s="1"/>
  <c r="K27" i="7"/>
  <c r="K9" i="7" s="1"/>
  <c r="J4" i="7" l="1"/>
  <c r="K4" i="7"/>
  <c r="L4" i="7"/>
  <c r="M4" i="7"/>
  <c r="I4" i="7"/>
  <c r="M75" i="7" l="1"/>
  <c r="L75" i="7"/>
  <c r="K75" i="7"/>
  <c r="J75" i="7"/>
  <c r="I75" i="7"/>
  <c r="M73" i="7"/>
  <c r="L73" i="7"/>
  <c r="K73" i="7"/>
  <c r="J73" i="7"/>
  <c r="I73" i="7"/>
  <c r="M71" i="7"/>
  <c r="L71" i="7"/>
  <c r="K71" i="7"/>
  <c r="J71" i="7"/>
  <c r="I71" i="7"/>
  <c r="M69" i="7"/>
  <c r="L69" i="7"/>
  <c r="K69" i="7"/>
  <c r="J69" i="7"/>
  <c r="I69" i="7"/>
  <c r="M65" i="7"/>
  <c r="L65" i="7"/>
  <c r="K65" i="7"/>
  <c r="J65" i="7"/>
  <c r="I65" i="7"/>
  <c r="M63" i="7"/>
  <c r="L63" i="7"/>
  <c r="K63" i="7"/>
  <c r="J63" i="7"/>
  <c r="I63" i="7"/>
  <c r="M61" i="7"/>
  <c r="L61" i="7"/>
  <c r="K61" i="7"/>
  <c r="J61" i="7"/>
  <c r="I61" i="7"/>
  <c r="M58" i="7"/>
  <c r="L58" i="7"/>
  <c r="K58" i="7"/>
  <c r="J58" i="7"/>
  <c r="I58" i="7"/>
  <c r="I57" i="7" l="1"/>
  <c r="K57" i="7"/>
  <c r="M57" i="7"/>
  <c r="J57" i="7"/>
  <c r="L57" i="7"/>
  <c r="J89" i="7" l="1"/>
  <c r="K89" i="7"/>
  <c r="L89" i="7"/>
  <c r="M89" i="7"/>
  <c r="I89" i="7"/>
  <c r="I194" i="7" l="1"/>
  <c r="J194" i="7"/>
  <c r="K194" i="7"/>
  <c r="L194" i="7"/>
  <c r="M194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M179" i="7"/>
  <c r="L179" i="7"/>
  <c r="K179" i="7"/>
  <c r="J179" i="7"/>
  <c r="I179" i="7"/>
  <c r="H179" i="7"/>
  <c r="G179" i="7"/>
  <c r="F179" i="7"/>
  <c r="E179" i="7"/>
  <c r="D179" i="7"/>
  <c r="M178" i="7"/>
  <c r="L178" i="7"/>
  <c r="K178" i="7"/>
  <c r="J178" i="7"/>
  <c r="I178" i="7"/>
  <c r="H178" i="7"/>
  <c r="G178" i="7"/>
  <c r="F178" i="7"/>
  <c r="E178" i="7"/>
  <c r="D178" i="7"/>
  <c r="H175" i="7"/>
  <c r="G175" i="7"/>
  <c r="F175" i="7"/>
  <c r="H174" i="7"/>
  <c r="G174" i="7"/>
  <c r="F174" i="7"/>
  <c r="M163" i="7"/>
  <c r="L163" i="7"/>
  <c r="K163" i="7"/>
  <c r="J163" i="7"/>
  <c r="I163" i="7"/>
  <c r="H163" i="7"/>
  <c r="G163" i="7"/>
  <c r="F163" i="7"/>
  <c r="E163" i="7"/>
  <c r="D163" i="7"/>
  <c r="M162" i="7"/>
  <c r="L162" i="7"/>
  <c r="K162" i="7"/>
  <c r="J162" i="7"/>
  <c r="I162" i="7"/>
  <c r="H162" i="7"/>
  <c r="G162" i="7"/>
  <c r="F162" i="7"/>
  <c r="E162" i="7"/>
  <c r="D162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M158" i="7"/>
  <c r="M147" i="7" s="1"/>
  <c r="L158" i="7"/>
  <c r="L147" i="7" s="1"/>
  <c r="K158" i="7"/>
  <c r="K147" i="7" s="1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5" i="7"/>
  <c r="H155" i="7"/>
  <c r="G155" i="7"/>
  <c r="F155" i="7"/>
  <c r="E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10" i="7"/>
  <c r="I110" i="7"/>
  <c r="H110" i="7"/>
  <c r="G110" i="7"/>
  <c r="F110" i="7"/>
  <c r="E110" i="7"/>
  <c r="D110" i="7"/>
  <c r="K109" i="7"/>
  <c r="J109" i="7"/>
  <c r="I109" i="7"/>
  <c r="H109" i="7"/>
  <c r="G109" i="7"/>
  <c r="F109" i="7"/>
  <c r="E109" i="7"/>
  <c r="D109" i="7"/>
  <c r="M104" i="7"/>
  <c r="M93" i="7" s="1"/>
  <c r="M92" i="7" s="1"/>
  <c r="L104" i="7"/>
  <c r="L93" i="7" s="1"/>
  <c r="L92" i="7" s="1"/>
  <c r="K104" i="7"/>
  <c r="K93" i="7" s="1"/>
  <c r="K92" i="7" s="1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I96" i="7"/>
  <c r="H96" i="7"/>
  <c r="G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I93" i="7" l="1"/>
  <c r="J147" i="7"/>
  <c r="I147" i="7"/>
  <c r="J93" i="7"/>
  <c r="J92" i="7" s="1"/>
  <c r="I92" i="7" l="1"/>
  <c r="J201" i="7" l="1"/>
  <c r="K201" i="7"/>
  <c r="L201" i="7"/>
  <c r="M201" i="7"/>
  <c r="I201" i="7"/>
</calcChain>
</file>

<file path=xl/sharedStrings.xml><?xml version="1.0" encoding="utf-8"?>
<sst xmlns="http://schemas.openxmlformats.org/spreadsheetml/2006/main" count="577" uniqueCount="252">
  <si>
    <t>Показатель объема</t>
  </si>
  <si>
    <t>Единица измерения</t>
  </si>
  <si>
    <t>2021 год</t>
  </si>
  <si>
    <t>2022 год</t>
  </si>
  <si>
    <t>2023 год</t>
  </si>
  <si>
    <t>ИТОГО:</t>
  </si>
  <si>
    <t>2023 год (план)</t>
  </si>
  <si>
    <t>Главный распорядитель бюджетных средств, наименование муниципальной услуги (работы)</t>
  </si>
  <si>
    <t>Объем оказания муниципальных услуг</t>
  </si>
  <si>
    <t>2024 год</t>
  </si>
  <si>
    <t>Финансовое обеспечения выполнения муниципального задания</t>
  </si>
  <si>
    <t>2024 год (план)</t>
  </si>
  <si>
    <t>003 Брянская городская администрация</t>
  </si>
  <si>
    <t>005 Управление образования Брянской городской администрации</t>
  </si>
  <si>
    <t>006 Управление культуры Брянской городской администрации</t>
  </si>
  <si>
    <t>008 Комитет по жилищно-коммунальному хозяйству Брянской городской администрации</t>
  </si>
  <si>
    <t>012 Комитет по делам молодежи, семьи, материнства и детства Брянской городской администрации</t>
  </si>
  <si>
    <t>единица</t>
  </si>
  <si>
    <t>014 Комитет по физической культуре и спорту Брянской городской администрации</t>
  </si>
  <si>
    <t>человек</t>
  </si>
  <si>
    <t>количество проведенных мероприятий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</si>
  <si>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</si>
  <si>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</si>
  <si>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мероприятий</t>
  </si>
  <si>
    <t>человеко-день</t>
  </si>
  <si>
    <t>Сведения о планируемых на 2023 год и на плановый период 2024 и 2025 годов объемах оказания муниципальных услуг (работ) муниципальными учреждениями, а также о планируемых объемах их финансового обеспечения в сравнении с ожидаемым
исполнением за 2022 год и отчетом за 2021 год (ГОРОД БРЯНСК)</t>
  </si>
  <si>
    <t>2025 год</t>
  </si>
  <si>
    <t>2021 год (факт)</t>
  </si>
  <si>
    <t>2022 год (оценка)</t>
  </si>
  <si>
    <t>2025 год (план)</t>
  </si>
  <si>
    <t xml:space="preserve">Спортивная подготовка по олимпийским видам спорта:
</t>
  </si>
  <si>
    <t>Волейбол НП</t>
  </si>
  <si>
    <t>число лиц, прошедших спортивную подготовку на этапах спортивной подготовки</t>
  </si>
  <si>
    <t>Волейбол ТЭ</t>
  </si>
  <si>
    <t>Волейбол ССМ</t>
  </si>
  <si>
    <t>Настольный теннис НП</t>
  </si>
  <si>
    <t>Настольный теннис ТЭ</t>
  </si>
  <si>
    <t>Теннис НП</t>
  </si>
  <si>
    <t>Теннис ТЭ</t>
  </si>
  <si>
    <t>Тяжелая атлетика НП</t>
  </si>
  <si>
    <t>Тяжелая атлетика ТЭ</t>
  </si>
  <si>
    <t>Тяжелая атлетика ССМ</t>
  </si>
  <si>
    <t>Тяжелая атлетика ВСМ</t>
  </si>
  <si>
    <t>Спортивная борьба НП</t>
  </si>
  <si>
    <t>Спортивная борьба ТЭ</t>
  </si>
  <si>
    <t>Спортивная борьба ССМ</t>
  </si>
  <si>
    <t>Спортивная борьба ВСМ</t>
  </si>
  <si>
    <t>Баскетбол НП</t>
  </si>
  <si>
    <t>Баскетбол ТЭ</t>
  </si>
  <si>
    <t>Баскетбол ССМ</t>
  </si>
  <si>
    <t>Бокс НП</t>
  </si>
  <si>
    <t>Бокс ТЭ</t>
  </si>
  <si>
    <t>Бокс ССМ</t>
  </si>
  <si>
    <t>Горнолыжный спорт НП</t>
  </si>
  <si>
    <t>Горнолыжный спорт ТЭ</t>
  </si>
  <si>
    <t>Лыжные гонки НП</t>
  </si>
  <si>
    <t>Лыжные гонки ТЭ</t>
  </si>
  <si>
    <t>Каратэ НП</t>
  </si>
  <si>
    <t>Каратэ ТЭ</t>
  </si>
  <si>
    <t>Пулевая стрельба НП</t>
  </si>
  <si>
    <t>Пулевая стрельба ТЭ</t>
  </si>
  <si>
    <t>Пулевая стрельба ВСМ</t>
  </si>
  <si>
    <t>Дзюдо НП</t>
  </si>
  <si>
    <t>Дзюдо ТЭ</t>
  </si>
  <si>
    <t>Дзюдо ССМ</t>
  </si>
  <si>
    <t>Дзюдо ВСМ</t>
  </si>
  <si>
    <t>Гимнастика НП</t>
  </si>
  <si>
    <t>Гимнастика ТЭ</t>
  </si>
  <si>
    <t>Гимнастика ССМ</t>
  </si>
  <si>
    <t>Гимнастика ВСМ</t>
  </si>
  <si>
    <t>Прыжки на батуте НП</t>
  </si>
  <si>
    <t>Прыжки на батуте ТЭ</t>
  </si>
  <si>
    <t>Прыжки на батуте ССМ</t>
  </si>
  <si>
    <t>Прыжки на батуте ВСМ</t>
  </si>
  <si>
    <t>Тхэквондо НП</t>
  </si>
  <si>
    <t>Тхэквондо ТЭ</t>
  </si>
  <si>
    <t>Фехтование НП</t>
  </si>
  <si>
    <t>Фехтование ТЭ</t>
  </si>
  <si>
    <t>Футбол НП</t>
  </si>
  <si>
    <t>Футбол ТЭ</t>
  </si>
  <si>
    <t>Легкая атлетика НП</t>
  </si>
  <si>
    <t>Легкая атлетика ТЭ</t>
  </si>
  <si>
    <t xml:space="preserve">Спортивная подготовка по неолимпийским видам спорта:
</t>
  </si>
  <si>
    <t>Бодибилдинг НП</t>
  </si>
  <si>
    <t>Бодибилдинг ТЭ</t>
  </si>
  <si>
    <t>Рукопашный бой НП</t>
  </si>
  <si>
    <t>Рукопашный бой ТЭ</t>
  </si>
  <si>
    <t>Рукопашный бой ССМ</t>
  </si>
  <si>
    <t>Самбо НП</t>
  </si>
  <si>
    <t>Самбо ТЭ</t>
  </si>
  <si>
    <t>Самбо ССМ</t>
  </si>
  <si>
    <t>Самбо ВСМ</t>
  </si>
  <si>
    <t>Фитнесс-аэробика НП</t>
  </si>
  <si>
    <t>Фитнесс-аэробика ТЭ</t>
  </si>
  <si>
    <t>Шахматы НП</t>
  </si>
  <si>
    <t>Шахматы ТЭ</t>
  </si>
  <si>
    <t>Шахматы ССМ</t>
  </si>
  <si>
    <t>Шашки НП</t>
  </si>
  <si>
    <t>Шашки ТЭ</t>
  </si>
  <si>
    <t>Шашки ССМ</t>
  </si>
  <si>
    <t>Компьютерный спорт НП</t>
  </si>
  <si>
    <t>Сверлегкая авиация НП</t>
  </si>
  <si>
    <t>Сверлегкая авиация ТЭ</t>
  </si>
  <si>
    <t>Сверлегкая авиация ССМ</t>
  </si>
  <si>
    <t>Парашютный спорт НП</t>
  </si>
  <si>
    <t>Парашютный спорт ТЭ</t>
  </si>
  <si>
    <t>Парашютный спорт ССМ</t>
  </si>
  <si>
    <t>ВБЕ НП</t>
  </si>
  <si>
    <t>ВБЕ ТЭ</t>
  </si>
  <si>
    <t>Всестилевое каратэ НП</t>
  </si>
  <si>
    <t>Всестилевое каратэ ТЭ</t>
  </si>
  <si>
    <t>Всестилевое каратэ ССМ</t>
  </si>
  <si>
    <t>Кикбоксинг НП</t>
  </si>
  <si>
    <t>Пауэрлифтинг НП</t>
  </si>
  <si>
    <t>Пауэрлифтинг ТЭ</t>
  </si>
  <si>
    <t>Пауэрлифтинг ССМ</t>
  </si>
  <si>
    <t>С/ориентирование НП</t>
  </si>
  <si>
    <t>С/ориентирование ТЭ</t>
  </si>
  <si>
    <t>Гиревой спорт НП</t>
  </si>
  <si>
    <t>Гиревой спорт ТЭ</t>
  </si>
  <si>
    <t>Гиревой спорт ССМ</t>
  </si>
  <si>
    <t>Гиревой спорт ВСМ</t>
  </si>
  <si>
    <t xml:space="preserve">Киокусинкай НП </t>
  </si>
  <si>
    <t>Киокусинкай ТЭ</t>
  </si>
  <si>
    <t>Спортивная акробатика НП</t>
  </si>
  <si>
    <t>Спортивная акробатика ТЭ</t>
  </si>
  <si>
    <t>Спортивная акробатика ССМ</t>
  </si>
  <si>
    <t>Спортивная акробатика ВСМ</t>
  </si>
  <si>
    <t>Тайский бокс НП</t>
  </si>
  <si>
    <t>Спортивная подготовка по спорту лиц с поражением ОДА:</t>
  </si>
  <si>
    <t>Легкая атлетика ССМ</t>
  </si>
  <si>
    <t>пребывание на объекте спорта</t>
  </si>
  <si>
    <t>МАО "ФОК" муниципальное задание в 2022 году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</si>
  <si>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</si>
  <si>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 опасном положении</t>
  </si>
  <si>
    <t>Образование</t>
  </si>
  <si>
    <t>Реализация основных общеобразовательных программ начального общего  образования</t>
  </si>
  <si>
    <t>число обучающихся</t>
  </si>
  <si>
    <t>Реализация дополнительных предпрофессиональных программ в области искусств</t>
  </si>
  <si>
    <t>Библиотеки</t>
  </si>
  <si>
    <t>Библиотечное, библиографическое и информационное обслуживание пользователей библиотек</t>
  </si>
  <si>
    <t>Количество посещений библиотеки в стационарных условиях и удаленно через сеть Интернет</t>
  </si>
  <si>
    <t>единиц</t>
  </si>
  <si>
    <t>Оркестры</t>
  </si>
  <si>
    <t>Показ (организация показа) концертов и концертных программ</t>
  </si>
  <si>
    <t>Число зрителей</t>
  </si>
  <si>
    <t>Дома культуры</t>
  </si>
  <si>
    <t>Организация и проведение мероприятий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</si>
  <si>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</si>
  <si>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</si>
  <si>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Показ кинофильмов</t>
  </si>
  <si>
    <t>число зрителей</t>
  </si>
  <si>
    <t>Выставочный зал</t>
  </si>
  <si>
    <t>Создание экспозиций (выставок) музеев, организация выездных выставок</t>
  </si>
  <si>
    <t>количество экспозиций</t>
  </si>
  <si>
    <t>Парки</t>
  </si>
  <si>
    <t>количество участников мероприятий</t>
  </si>
  <si>
    <t>Архив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</si>
  <si>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РФ и международными обязательствами</t>
  </si>
  <si>
    <t>количество исполненных запросов</t>
  </si>
  <si>
    <t>Служба комплексного обслуживания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</si>
  <si>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</si>
  <si>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объектов и  прилегающей территории</t>
  </si>
  <si>
    <t>тыс. М2</t>
  </si>
  <si>
    <t>541,219</t>
  </si>
  <si>
    <t>514,219</t>
  </si>
  <si>
    <t>реализация основных общеобразовательных программ начального общего образования, очная форма обучения</t>
  </si>
  <si>
    <t xml:space="preserve"> реализация основных общеобразовательных программ начального общего образования (проходящие обучение по состоянию здоровья в медицинских организациях), очная форма обучения</t>
  </si>
  <si>
    <t xml:space="preserve"> реализация основных общеобразовательных программ начального общего образования (дети-инвалиды),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</si>
  <si>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</si>
  <si>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</si>
  <si>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образования, очная форма обучения</t>
  </si>
  <si>
    <t>реализация основных общеобразовательных программ основного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</si>
  <si>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 (адаптированная) (дети-инвалиды), очная форма обучения</t>
  </si>
  <si>
    <t>реализация основных общеобразовательных программ основного общего образования (адаптированная) (ОВЗ), очная форма обучения</t>
  </si>
  <si>
    <t xml:space="preserve"> реализация основных общеобразовательных программ основного общего образования (адаптированная) (ОВЗ)(проходящие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</si>
  <si>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образования, очная форма обучения</t>
  </si>
  <si>
    <t>реализация основных общеобразовательных программ среднего общего образования (проходящие обучение в общеобразовательных организациях, созданных при исправительных учреждениях уголовно-исполнительной системы), заочная форма обучения</t>
  </si>
  <si>
    <t>реализация основных общеобразовательных программ среднего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</si>
  <si>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 (адаптированная) (дети-инвалиды), очная форма обучения</t>
  </si>
  <si>
    <t>реализация основных общеобразовательных программ среднего общего образования (адаптированная) (ОВЗ), очная форма обучения</t>
  </si>
  <si>
    <t>реализация основных общеобразовательных программ дошкольного образования (до 3-х лет) - очная форма, группа полного дня</t>
  </si>
  <si>
    <t xml:space="preserve"> реализация основных общеобразовательных программ дошкольного образования (до 3-х лет) - очная форма, группа кратковременного пребывания</t>
  </si>
  <si>
    <t>реализация основных общеобразовательных программ дошкольного образования (от 3-х лет до 8 лет) - очная форма, группа полного дня</t>
  </si>
  <si>
    <t xml:space="preserve"> реализация основных общеобразовательных программ дошкольного образования (до 3-х лет) (дети-инвалиды) - очная форма, группа полного дня</t>
  </si>
  <si>
    <t>реализация основных общеобразовательных программ дошкольного образования (от 3-х лет до 8 лет) (дети-инвалиды) - очная форма, группа полного дня</t>
  </si>
  <si>
    <t xml:space="preserve"> реализация основных общеобразовательных программ дошкольного образования (до 3-х лет) (адаптированная с ограниченными возможностями здоровья (ОВЗ)) - очная форма, группа полного дня</t>
  </si>
  <si>
    <t xml:space="preserve"> реализация основных общеобразовательных программ дошкольного образования (от 3-х лет до 8 лет) (адаптированная с ограниченными возможностями здоровья (ОВЗ)) - очная форма, группа полного дня</t>
  </si>
  <si>
    <t>присмотр и уход (физические лица льготных категорий, определяемых учредителем)</t>
  </si>
  <si>
    <t>число человеко-дней пребывания</t>
  </si>
  <si>
    <t>человеко-дни</t>
  </si>
  <si>
    <t>присмотр и уход (до 3-х лет) (дети с туберкулезной интоксикацией)</t>
  </si>
  <si>
    <t>присмотр и уход (от 3-х лет до 8 лет) (дети с туберкулезной интоксикацией)</t>
  </si>
  <si>
    <t>присмотр и уход (физические лица за исключением льготных категорий)</t>
  </si>
  <si>
    <t>реализация дополнительных общеразвивающих программ художественной направленности</t>
  </si>
  <si>
    <t>человеко-час</t>
  </si>
  <si>
    <t>реализация  дополнительных общеразвивающих программ туристско-краеведческой направленности</t>
  </si>
  <si>
    <t>реализация  дополнительных общеразвивающих программ социально-гуманитарной направленности</t>
  </si>
  <si>
    <t>реализация дополнительных общеразвивающих программ технической направленности</t>
  </si>
  <si>
    <t>реализация  дополнительных общеразвивающих программ естественно-научной направленности</t>
  </si>
  <si>
    <t>реализация  дополнительных общеразвивающих программ физкультурно-спортивной направленности</t>
  </si>
  <si>
    <t>затраты на организацию проведения общественно-значимых мероприятий в сфере образования, науки и молодежной полититки</t>
  </si>
  <si>
    <t>Количество мероприятий</t>
  </si>
  <si>
    <t>Единиц</t>
  </si>
  <si>
    <t xml:space="preserve"> затраты на организацию проведения общественно-значимых мероприятий в сфере образования, науки и молодежной полититки</t>
  </si>
  <si>
    <t>Количество кружков и секций</t>
  </si>
  <si>
    <t>количество человеко-часов</t>
  </si>
  <si>
    <t>реализация  дополнительных общеразвивающих программ художественной направленности</t>
  </si>
  <si>
    <t>реализация  дополнительных общеразвивающих программ технической направленности</t>
  </si>
  <si>
    <t>организация отдыха детей и молодежи</t>
  </si>
  <si>
    <t>человеко-дней пребывания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</si>
  <si>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</si>
  <si>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Число обучающихся, их родителей (законных представителей) и педагогических работников</t>
  </si>
  <si>
    <t>психолого-медико-педагогическое обследование детей</t>
  </si>
  <si>
    <t>коррекционно-развивающая, компенсирующаю и логопедическая помощь обучающимся</t>
  </si>
  <si>
    <t>реализация дополнительных общеразвивающих программ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</si>
  <si>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</si>
  <si>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 xml:space="preserve">Число обратившихся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</si>
  <si>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Человек     </t>
  </si>
  <si>
    <t xml:space="preserve"> Кол-во услуг      </t>
  </si>
  <si>
    <t>Единица</t>
  </si>
  <si>
    <t>Содержание (эксплуатация) имущества,находящегося в  гос.(муниципальн) собственности</t>
  </si>
  <si>
    <t>эксплуатир.площадь объектов</t>
  </si>
  <si>
    <t>тыс.кв.м.</t>
  </si>
  <si>
    <t>Организация и осуществление транспортного облслуживания</t>
  </si>
  <si>
    <t>машино-часы работы автомобилей</t>
  </si>
  <si>
    <t>Организация и проведение культурно-массовых мероприятий</t>
  </si>
  <si>
    <t xml:space="preserve">организационно-методическое и информационное сопровождение деятельности организаций и их работников </t>
  </si>
  <si>
    <t>Организация содержания автомобильных дорог общего пользования и исскуственных дорожных сооружений в их составе</t>
  </si>
  <si>
    <t>Протяженность и площадь автомобильных дорог общего пользования</t>
  </si>
  <si>
    <t>км/тыс м2</t>
  </si>
  <si>
    <t>819,20/ 7127,764</t>
  </si>
  <si>
    <t>849,373/              7549,813</t>
  </si>
  <si>
    <t>Количество и протяженность искуственных дорожных сооружений в составе автомобильных дорог общего пользования</t>
  </si>
  <si>
    <t>шт/ погонный метр</t>
  </si>
  <si>
    <t>19/3960,17</t>
  </si>
  <si>
    <t>20/4062,0</t>
  </si>
  <si>
    <t>Количество инженерно-транспортных сооружений</t>
  </si>
  <si>
    <t xml:space="preserve">единица </t>
  </si>
  <si>
    <t>Количество светофорных объектов</t>
  </si>
  <si>
    <t>Количество дорожных знаков и указаталей</t>
  </si>
  <si>
    <t>Нанесение линий дорожной разметки</t>
  </si>
  <si>
    <t>метр квадратный</t>
  </si>
  <si>
    <t>Организация освещения улиц</t>
  </si>
  <si>
    <t>Протяженность сети наружного освещения</t>
  </si>
  <si>
    <t>километр</t>
  </si>
  <si>
    <t>Количество пунктов питания</t>
  </si>
  <si>
    <t>Количество светильников</t>
  </si>
  <si>
    <t>Организация содержания фонтанов</t>
  </si>
  <si>
    <t>Площадь территории</t>
  </si>
  <si>
    <t>м2</t>
  </si>
  <si>
    <t>Организация содержания городских зеленых насаждений (парки, скверы)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</si>
</sst>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8"/>
      <name val="Tahoma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i/>
      <sz val="10"/>
      <color theme="1"/>
      <name val="Segoe U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i/>
      <sz val="10"/>
      <color theme="1"/>
      <name val="Segoe UI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Segoe U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9" fontId="2" fillId="0" borderId="2">
      <alignment horizontal="center" vertical="top" shrinkToFit="1"/>
    </xf>
    <xf numFmtId="0" fontId="3" fillId="0" borderId="2">
      <alignment vertical="top" wrapText="1"/>
    </xf>
    <xf numFmtId="4" fontId="3" fillId="2" borderId="2">
      <alignment horizontal="right" vertical="top" shrinkToFit="1"/>
    </xf>
    <xf numFmtId="0" fontId="4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7" fillId="0" borderId="0"/>
    <xf numFmtId="43" fontId="18" fillId="0" borderId="0" applyFont="0" applyFill="0" applyBorder="0" applyAlignment="0" applyProtection="0"/>
  </cellStyleXfs>
  <cellXfs count="9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0" xfId="0" applyFont="1"/>
    <xf numFmtId="4" fontId="1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1" fillId="5" borderId="1" xfId="0" applyFont="1" applyFill="1" applyBorder="1" applyAlignment="1">
      <alignment horizontal="left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5" borderId="0" xfId="0" applyFill="1"/>
    <xf numFmtId="0" fontId="1" fillId="5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4" fontId="11" fillId="5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12" fillId="0" borderId="0" xfId="0" applyFont="1"/>
    <xf numFmtId="0" fontId="11" fillId="0" borderId="1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10" fillId="4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5" borderId="1" xfId="0" applyFont="1" applyFill="1" applyBorder="1" applyAlignment="1">
      <alignment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5" fillId="5" borderId="0" xfId="0" applyFont="1" applyFill="1"/>
    <xf numFmtId="4" fontId="1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0" xfId="0" applyFill="1"/>
    <xf numFmtId="3" fontId="1" fillId="5" borderId="1" xfId="0" applyNumberFormat="1" applyFont="1" applyFill="1" applyBorder="1" applyAlignment="1">
      <alignment horizontal="center" wrapText="1"/>
    </xf>
    <xf numFmtId="4" fontId="0" fillId="5" borderId="1" xfId="0" applyNumberForma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5" borderId="1" xfId="0" applyNumberFormat="1" applyFont="1" applyFill="1" applyBorder="1" applyAlignment="1">
      <alignment vertical="center"/>
    </xf>
    <xf numFmtId="0" fontId="0" fillId="5" borderId="0" xfId="0" applyFont="1" applyFill="1" applyAlignment="1">
      <alignment wrapText="1"/>
    </xf>
    <xf numFmtId="4" fontId="0" fillId="5" borderId="1" xfId="0" applyNumberFormat="1" applyFont="1" applyFill="1" applyBorder="1" applyAlignment="1">
      <alignment horizontal="right" vertical="center"/>
    </xf>
    <xf numFmtId="4" fontId="0" fillId="0" borderId="1" xfId="0" applyNumberFormat="1" applyFill="1" applyBorder="1"/>
    <xf numFmtId="0" fontId="13" fillId="5" borderId="1" xfId="0" applyFont="1" applyFill="1" applyBorder="1" applyAlignment="1">
      <alignment horizontal="left" vertical="center" wrapText="1"/>
    </xf>
    <xf numFmtId="3" fontId="13" fillId="5" borderId="1" xfId="0" applyNumberFormat="1" applyFont="1" applyFill="1" applyBorder="1" applyAlignment="1">
      <alignment horizontal="center" wrapText="1"/>
    </xf>
    <xf numFmtId="4" fontId="17" fillId="5" borderId="1" xfId="0" applyNumberFormat="1" applyFont="1" applyFill="1" applyBorder="1" applyAlignment="1">
      <alignment horizontal="center"/>
    </xf>
    <xf numFmtId="0" fontId="17" fillId="5" borderId="0" xfId="0" applyFont="1" applyFill="1"/>
    <xf numFmtId="0" fontId="4" fillId="5" borderId="1" xfId="6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" fontId="0" fillId="0" borderId="6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9" fillId="5" borderId="6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left" vertical="center" wrapText="1"/>
    </xf>
    <xf numFmtId="3" fontId="19" fillId="5" borderId="1" xfId="0" applyNumberFormat="1" applyFont="1" applyFill="1" applyBorder="1" applyAlignment="1">
      <alignment horizontal="center" vertical="center" wrapText="1"/>
    </xf>
    <xf numFmtId="4" fontId="19" fillId="5" borderId="6" xfId="0" applyNumberFormat="1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left" vertical="center" wrapText="1"/>
    </xf>
    <xf numFmtId="164" fontId="19" fillId="5" borderId="1" xfId="10" applyNumberFormat="1" applyFont="1" applyFill="1" applyBorder="1" applyAlignment="1">
      <alignment horizontal="center" vertical="center" wrapText="1"/>
    </xf>
    <xf numFmtId="4" fontId="19" fillId="5" borderId="7" xfId="0" applyNumberFormat="1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left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4" fontId="19" fillId="5" borderId="6" xfId="0" applyNumberFormat="1" applyFont="1" applyFill="1" applyBorder="1" applyAlignment="1">
      <alignment horizontal="center" vertical="center"/>
    </xf>
    <xf numFmtId="4" fontId="19" fillId="5" borderId="7" xfId="0" applyNumberFormat="1" applyFont="1" applyFill="1" applyBorder="1" applyAlignment="1">
      <alignment horizontal="center" vertical="center"/>
    </xf>
    <xf numFmtId="4" fontId="19" fillId="5" borderId="5" xfId="0" applyNumberFormat="1" applyFont="1" applyFill="1" applyBorder="1" applyAlignment="1">
      <alignment horizontal="center" vertical="center"/>
    </xf>
    <xf numFmtId="0" fontId="19" fillId="5" borderId="1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/>
    </xf>
  </cellXfs>
  <cellStyles count="11">
    <cellStyle name="Normal 2" xfId="9"/>
    <cellStyle name="xl31" xfId="1"/>
    <cellStyle name="xl40" xfId="2"/>
    <cellStyle name="xl41" xfId="3"/>
    <cellStyle name="Обычный" xfId="0" builtinId="0"/>
    <cellStyle name="Обычный 10" xfId="4"/>
    <cellStyle name="Обычный 2" xfId="5"/>
    <cellStyle name="Обычный 2 2" xfId="6"/>
    <cellStyle name="Обычный 3" xfId="7"/>
    <cellStyle name="Обычный 4" xfId="8"/>
    <cellStyle name="Финансовый" xfId="10" builtinId="3"/>
  </cellStyles>
  <dxfs count="2">
    <dxf>
      <fill>
        <patternFill>
          <bgColor theme="3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custom" table="0" count="2">
      <tableStyleElement type="wholeTable" dxfId="1"/>
      <tableStyleElement type="headerRow" dxfId="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6"/>
  <sheetViews>
    <sheetView tabSelected="1" zoomScale="85" zoomScaleNormal="85" workbookViewId="0">
      <pane ySplit="3" topLeftCell="A190" activePane="bottomLeft" state="frozen"/>
      <selection pane="bottomLeft" activeCell="B210" sqref="B210"/>
    </sheetView>
  </sheetViews>
  <sheetFormatPr defaultRowHeight="15" x14ac:dyDescent="0.25"/>
  <cols>
    <col min="1" max="1" width="79.85546875" style="2" customWidth="1"/>
    <col min="2" max="2" width="45.28515625" style="2" customWidth="1"/>
    <col min="3" max="3" width="14" style="2" customWidth="1"/>
    <col min="4" max="8" width="14.5703125" customWidth="1"/>
    <col min="9" max="13" width="18.42578125" customWidth="1"/>
  </cols>
  <sheetData>
    <row r="1" spans="1:13" ht="45" customHeight="1" x14ac:dyDescent="0.25">
      <c r="A1" s="64" t="s">
        <v>25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30" customHeight="1" x14ac:dyDescent="0.25">
      <c r="A2" s="68" t="s">
        <v>7</v>
      </c>
      <c r="B2" s="68" t="s">
        <v>0</v>
      </c>
      <c r="C2" s="68" t="s">
        <v>1</v>
      </c>
      <c r="D2" s="67" t="s">
        <v>8</v>
      </c>
      <c r="E2" s="67"/>
      <c r="F2" s="67"/>
      <c r="G2" s="67"/>
      <c r="H2" s="67"/>
      <c r="I2" s="67" t="s">
        <v>10</v>
      </c>
      <c r="J2" s="67"/>
      <c r="K2" s="67"/>
      <c r="L2" s="67"/>
      <c r="M2" s="67"/>
    </row>
    <row r="3" spans="1:13" ht="41.25" customHeight="1" x14ac:dyDescent="0.25">
      <c r="A3" s="68"/>
      <c r="B3" s="68"/>
      <c r="C3" s="68"/>
      <c r="D3" s="5" t="s">
        <v>2</v>
      </c>
      <c r="E3" s="5" t="s">
        <v>3</v>
      </c>
      <c r="F3" s="5" t="s">
        <v>4</v>
      </c>
      <c r="G3" s="5" t="s">
        <v>9</v>
      </c>
      <c r="H3" s="5" t="s">
        <v>26</v>
      </c>
      <c r="I3" s="5" t="s">
        <v>27</v>
      </c>
      <c r="J3" s="5" t="s">
        <v>28</v>
      </c>
      <c r="K3" s="5" t="s">
        <v>6</v>
      </c>
      <c r="L3" s="5" t="s">
        <v>11</v>
      </c>
      <c r="M3" s="5" t="s">
        <v>29</v>
      </c>
    </row>
    <row r="4" spans="1:13" s="32" customFormat="1" x14ac:dyDescent="0.25">
      <c r="A4" s="20" t="s">
        <v>12</v>
      </c>
      <c r="B4" s="21"/>
      <c r="C4" s="21"/>
      <c r="D4" s="22"/>
      <c r="E4" s="22"/>
      <c r="F4" s="22"/>
      <c r="G4" s="22"/>
      <c r="H4" s="22"/>
      <c r="I4" s="33">
        <f>SUM(I5:I8)</f>
        <v>86679693.799999997</v>
      </c>
      <c r="J4" s="33">
        <f t="shared" ref="J4:M4" si="0">SUM(J5:J8)</f>
        <v>93022560.829999998</v>
      </c>
      <c r="K4" s="33">
        <f t="shared" si="0"/>
        <v>99035678.620000005</v>
      </c>
      <c r="L4" s="33">
        <f t="shared" si="0"/>
        <v>79112736.799999997</v>
      </c>
      <c r="M4" s="33">
        <f t="shared" si="0"/>
        <v>78941924.039999992</v>
      </c>
    </row>
    <row r="5" spans="1:13" ht="28.5" x14ac:dyDescent="0.25">
      <c r="A5" s="1" t="s">
        <v>221</v>
      </c>
      <c r="B5" s="1" t="s">
        <v>222</v>
      </c>
      <c r="C5" s="1" t="s">
        <v>223</v>
      </c>
      <c r="D5" s="34">
        <v>6.95</v>
      </c>
      <c r="E5" s="34">
        <v>6.95</v>
      </c>
      <c r="F5" s="34">
        <v>6.95</v>
      </c>
      <c r="G5" s="34">
        <v>6.95</v>
      </c>
      <c r="H5" s="34">
        <v>6.95</v>
      </c>
      <c r="I5" s="34">
        <v>23199974</v>
      </c>
      <c r="J5" s="34">
        <v>23387958.43</v>
      </c>
      <c r="K5" s="6">
        <v>26820369</v>
      </c>
      <c r="L5" s="6">
        <v>23262039</v>
      </c>
      <c r="M5" s="6">
        <v>23262039</v>
      </c>
    </row>
    <row r="6" spans="1:13" x14ac:dyDescent="0.25">
      <c r="A6" s="1" t="s">
        <v>224</v>
      </c>
      <c r="B6" s="1" t="s">
        <v>225</v>
      </c>
      <c r="C6" s="1" t="s">
        <v>142</v>
      </c>
      <c r="D6" s="4">
        <v>89571</v>
      </c>
      <c r="E6" s="4">
        <v>78120</v>
      </c>
      <c r="F6" s="4">
        <v>86944</v>
      </c>
      <c r="G6" s="4">
        <v>86944</v>
      </c>
      <c r="H6" s="4">
        <v>86944</v>
      </c>
      <c r="I6" s="34">
        <v>29483452.800000001</v>
      </c>
      <c r="J6" s="34">
        <v>35190087</v>
      </c>
      <c r="K6" s="6">
        <v>36035472.640000001</v>
      </c>
      <c r="L6" s="6">
        <v>21670860.82</v>
      </c>
      <c r="M6" s="6">
        <v>21500048.059999999</v>
      </c>
    </row>
    <row r="7" spans="1:13" x14ac:dyDescent="0.25">
      <c r="A7" s="69" t="s">
        <v>216</v>
      </c>
      <c r="B7" s="1" t="s">
        <v>217</v>
      </c>
      <c r="C7" s="3" t="s">
        <v>218</v>
      </c>
      <c r="D7" s="4">
        <v>105143</v>
      </c>
      <c r="E7" s="4">
        <v>100000</v>
      </c>
      <c r="F7" s="4">
        <v>100000</v>
      </c>
      <c r="G7" s="4">
        <v>100000</v>
      </c>
      <c r="H7" s="4">
        <v>100000</v>
      </c>
      <c r="I7" s="71">
        <v>33996267</v>
      </c>
      <c r="J7" s="71">
        <v>34444515.399999999</v>
      </c>
      <c r="K7" s="73">
        <v>36179836.979999997</v>
      </c>
      <c r="L7" s="73">
        <v>34179836.979999997</v>
      </c>
      <c r="M7" s="73">
        <v>34179836.979999997</v>
      </c>
    </row>
    <row r="8" spans="1:13" x14ac:dyDescent="0.25">
      <c r="A8" s="70"/>
      <c r="B8" s="1" t="s">
        <v>219</v>
      </c>
      <c r="C8" s="3" t="s">
        <v>220</v>
      </c>
      <c r="D8" s="4">
        <v>105143</v>
      </c>
      <c r="E8" s="4">
        <v>100000</v>
      </c>
      <c r="F8" s="4">
        <v>100000</v>
      </c>
      <c r="G8" s="4">
        <v>100000</v>
      </c>
      <c r="H8" s="4">
        <v>100000</v>
      </c>
      <c r="I8" s="72"/>
      <c r="J8" s="72"/>
      <c r="K8" s="74"/>
      <c r="L8" s="74"/>
      <c r="M8" s="74"/>
    </row>
    <row r="9" spans="1:13" s="32" customFormat="1" x14ac:dyDescent="0.25">
      <c r="A9" s="20" t="s">
        <v>13</v>
      </c>
      <c r="B9" s="21"/>
      <c r="C9" s="21"/>
      <c r="D9" s="22"/>
      <c r="E9" s="22"/>
      <c r="F9" s="22"/>
      <c r="G9" s="22"/>
      <c r="H9" s="22"/>
      <c r="I9" s="52">
        <f>SUM(I10:I56)</f>
        <v>4929155583</v>
      </c>
      <c r="J9" s="52">
        <f t="shared" ref="J9:M9" si="1">SUM(J10:J56)</f>
        <v>5562722008.0077696</v>
      </c>
      <c r="K9" s="52">
        <f t="shared" si="1"/>
        <v>5614908627.0833282</v>
      </c>
      <c r="L9" s="52">
        <f t="shared" si="1"/>
        <v>5429137561.9399967</v>
      </c>
      <c r="M9" s="52">
        <f t="shared" si="1"/>
        <v>5459321407.9399967</v>
      </c>
    </row>
    <row r="10" spans="1:13" ht="28.5" x14ac:dyDescent="0.25">
      <c r="A10" s="13" t="s">
        <v>166</v>
      </c>
      <c r="B10" s="13" t="s">
        <v>137</v>
      </c>
      <c r="C10" s="13" t="s">
        <v>19</v>
      </c>
      <c r="D10" s="45">
        <v>22720</v>
      </c>
      <c r="E10" s="46">
        <v>23281</v>
      </c>
      <c r="F10" s="45">
        <v>23594</v>
      </c>
      <c r="G10" s="45">
        <v>23594</v>
      </c>
      <c r="H10" s="45">
        <v>23594</v>
      </c>
      <c r="I10" s="47">
        <v>949854677.72000003</v>
      </c>
      <c r="J10" s="47">
        <v>1037613385.9100839</v>
      </c>
      <c r="K10" s="47">
        <v>1167256554.119427</v>
      </c>
      <c r="L10" s="47">
        <v>1173639501.5037999</v>
      </c>
      <c r="M10" s="47">
        <v>1173639501.5037999</v>
      </c>
    </row>
    <row r="11" spans="1:13" ht="59.25" customHeight="1" x14ac:dyDescent="0.25">
      <c r="A11" s="1" t="s">
        <v>167</v>
      </c>
      <c r="B11" s="1" t="s">
        <v>137</v>
      </c>
      <c r="C11" s="1" t="s">
        <v>19</v>
      </c>
      <c r="D11" s="45">
        <v>237</v>
      </c>
      <c r="E11" s="46">
        <v>237</v>
      </c>
      <c r="F11" s="45">
        <v>237</v>
      </c>
      <c r="G11" s="45">
        <v>237</v>
      </c>
      <c r="H11" s="45">
        <v>237</v>
      </c>
      <c r="I11" s="47">
        <v>8431373.8499999996</v>
      </c>
      <c r="J11" s="47">
        <v>9466649.2608788051</v>
      </c>
      <c r="K11" s="47">
        <v>10649446.648781158</v>
      </c>
      <c r="L11" s="47">
        <v>10707681.367954046</v>
      </c>
      <c r="M11" s="47">
        <v>10707681.367954046</v>
      </c>
    </row>
    <row r="12" spans="1:13" ht="28.5" x14ac:dyDescent="0.25">
      <c r="A12" s="1" t="s">
        <v>168</v>
      </c>
      <c r="B12" s="1" t="s">
        <v>137</v>
      </c>
      <c r="C12" s="1" t="s">
        <v>19</v>
      </c>
      <c r="D12" s="45">
        <v>170</v>
      </c>
      <c r="E12" s="46">
        <v>182</v>
      </c>
      <c r="F12" s="45">
        <v>185</v>
      </c>
      <c r="G12" s="45">
        <v>185</v>
      </c>
      <c r="H12" s="45">
        <v>185</v>
      </c>
      <c r="I12" s="47">
        <v>20700882.93</v>
      </c>
      <c r="J12" s="47">
        <v>23506010.186919618</v>
      </c>
      <c r="K12" s="47">
        <v>26442936.092053834</v>
      </c>
      <c r="L12" s="47">
        <v>26587534.868705165</v>
      </c>
      <c r="M12" s="47">
        <v>26587534.868705165</v>
      </c>
    </row>
    <row r="13" spans="1:13" ht="42.75" x14ac:dyDescent="0.25">
      <c r="A13" s="1" t="s">
        <v>169</v>
      </c>
      <c r="B13" s="1" t="s">
        <v>137</v>
      </c>
      <c r="C13" s="1" t="s">
        <v>19</v>
      </c>
      <c r="D13" s="45">
        <v>193</v>
      </c>
      <c r="E13" s="46">
        <v>219</v>
      </c>
      <c r="F13" s="45">
        <v>260</v>
      </c>
      <c r="G13" s="45">
        <v>260</v>
      </c>
      <c r="H13" s="45">
        <v>260</v>
      </c>
      <c r="I13" s="47">
        <v>17746994.739999998</v>
      </c>
      <c r="J13" s="47">
        <v>21631225.266128536</v>
      </c>
      <c r="K13" s="47">
        <v>24333908.76446373</v>
      </c>
      <c r="L13" s="47">
        <v>24466974.677652694</v>
      </c>
      <c r="M13" s="47">
        <v>24466974.677652694</v>
      </c>
    </row>
    <row r="14" spans="1:13" ht="57" x14ac:dyDescent="0.25">
      <c r="A14" s="1" t="s">
        <v>170</v>
      </c>
      <c r="B14" s="1" t="s">
        <v>137</v>
      </c>
      <c r="C14" s="1" t="s">
        <v>19</v>
      </c>
      <c r="D14" s="45">
        <v>25</v>
      </c>
      <c r="E14" s="46"/>
      <c r="F14" s="45"/>
      <c r="G14" s="45"/>
      <c r="H14" s="45"/>
      <c r="I14" s="47">
        <v>1026056.31</v>
      </c>
      <c r="J14" s="47">
        <v>0</v>
      </c>
      <c r="K14" s="47">
        <v>0</v>
      </c>
      <c r="L14" s="47">
        <v>0</v>
      </c>
      <c r="M14" s="47">
        <v>0</v>
      </c>
    </row>
    <row r="15" spans="1:13" ht="28.5" x14ac:dyDescent="0.25">
      <c r="A15" s="1" t="s">
        <v>171</v>
      </c>
      <c r="B15" s="1" t="s">
        <v>137</v>
      </c>
      <c r="C15" s="1" t="s">
        <v>19</v>
      </c>
      <c r="D15" s="45">
        <v>24196</v>
      </c>
      <c r="E15" s="46">
        <v>25320</v>
      </c>
      <c r="F15" s="45">
        <v>25888</v>
      </c>
      <c r="G15" s="45">
        <v>25888</v>
      </c>
      <c r="H15" s="45">
        <v>25888</v>
      </c>
      <c r="I15" s="47">
        <v>1054326122.45</v>
      </c>
      <c r="J15" s="47">
        <v>1201424826.6554043</v>
      </c>
      <c r="K15" s="47">
        <v>1351535188.5763373</v>
      </c>
      <c r="L15" s="47">
        <v>1358925832.8750274</v>
      </c>
      <c r="M15" s="47">
        <v>1358925832.8750274</v>
      </c>
    </row>
    <row r="16" spans="1:13" ht="42.75" x14ac:dyDescent="0.25">
      <c r="A16" s="1" t="s">
        <v>172</v>
      </c>
      <c r="B16" s="1" t="s">
        <v>137</v>
      </c>
      <c r="C16" s="1" t="s">
        <v>19</v>
      </c>
      <c r="D16" s="45">
        <v>253</v>
      </c>
      <c r="E16" s="46">
        <v>237</v>
      </c>
      <c r="F16" s="45">
        <v>237</v>
      </c>
      <c r="G16" s="45">
        <v>237</v>
      </c>
      <c r="H16" s="45">
        <v>237</v>
      </c>
      <c r="I16" s="47">
        <v>8308629.8899999997</v>
      </c>
      <c r="J16" s="47">
        <v>8139256.9208788062</v>
      </c>
      <c r="K16" s="47">
        <v>9156205.1102731079</v>
      </c>
      <c r="L16" s="47">
        <v>9206274.2876558714</v>
      </c>
      <c r="M16" s="47">
        <v>9206274.2876558714</v>
      </c>
    </row>
    <row r="17" spans="1:13" ht="28.5" x14ac:dyDescent="0.25">
      <c r="A17" s="1" t="s">
        <v>173</v>
      </c>
      <c r="B17" s="1" t="s">
        <v>137</v>
      </c>
      <c r="C17" s="1" t="s">
        <v>19</v>
      </c>
      <c r="D17" s="45">
        <v>200</v>
      </c>
      <c r="E17" s="46">
        <v>212</v>
      </c>
      <c r="F17" s="45">
        <v>228</v>
      </c>
      <c r="G17" s="45">
        <v>228</v>
      </c>
      <c r="H17" s="45">
        <v>228</v>
      </c>
      <c r="I17" s="48">
        <v>30185950.510000002</v>
      </c>
      <c r="J17" s="48">
        <v>36887851.388170049</v>
      </c>
      <c r="K17" s="47">
        <v>41496752.918679208</v>
      </c>
      <c r="L17" s="47">
        <v>41723670.976725213</v>
      </c>
      <c r="M17" s="47">
        <v>41723670.976725213</v>
      </c>
    </row>
    <row r="18" spans="1:13" ht="28.5" x14ac:dyDescent="0.25">
      <c r="A18" s="1" t="s">
        <v>174</v>
      </c>
      <c r="B18" s="1" t="s">
        <v>137</v>
      </c>
      <c r="C18" s="1" t="s">
        <v>19</v>
      </c>
      <c r="D18" s="45">
        <v>155</v>
      </c>
      <c r="E18" s="46">
        <v>160</v>
      </c>
      <c r="F18" s="45">
        <v>172</v>
      </c>
      <c r="G18" s="45">
        <v>172</v>
      </c>
      <c r="H18" s="45">
        <v>172</v>
      </c>
      <c r="I18" s="48">
        <v>21959749.140000001</v>
      </c>
      <c r="J18" s="48">
        <v>25536570.633335911</v>
      </c>
      <c r="K18" s="47">
        <v>28727202.102689587</v>
      </c>
      <c r="L18" s="47">
        <v>28884292.006254144</v>
      </c>
      <c r="M18" s="47">
        <v>28884292.006254144</v>
      </c>
    </row>
    <row r="19" spans="1:13" ht="42.75" x14ac:dyDescent="0.25">
      <c r="A19" s="1" t="s">
        <v>175</v>
      </c>
      <c r="B19" s="1" t="s">
        <v>137</v>
      </c>
      <c r="C19" s="1" t="s">
        <v>19</v>
      </c>
      <c r="D19" s="45">
        <v>17</v>
      </c>
      <c r="E19" s="46"/>
      <c r="F19" s="45"/>
      <c r="G19" s="45"/>
      <c r="H19" s="45"/>
      <c r="I19" s="48">
        <v>659378.29</v>
      </c>
      <c r="J19" s="48">
        <v>0</v>
      </c>
      <c r="K19" s="47">
        <v>0</v>
      </c>
      <c r="L19" s="47">
        <v>0</v>
      </c>
      <c r="M19" s="47">
        <v>0</v>
      </c>
    </row>
    <row r="20" spans="1:13" ht="28.5" x14ac:dyDescent="0.25">
      <c r="A20" s="1" t="s">
        <v>176</v>
      </c>
      <c r="B20" s="1" t="s">
        <v>137</v>
      </c>
      <c r="C20" s="1" t="s">
        <v>19</v>
      </c>
      <c r="D20" s="45">
        <v>4259</v>
      </c>
      <c r="E20" s="46">
        <v>4265</v>
      </c>
      <c r="F20" s="45">
        <v>4249</v>
      </c>
      <c r="G20" s="45">
        <v>4249</v>
      </c>
      <c r="H20" s="45">
        <v>4249</v>
      </c>
      <c r="I20" s="48">
        <v>195195215.33000001</v>
      </c>
      <c r="J20" s="48">
        <v>228104713.01611063</v>
      </c>
      <c r="K20" s="47">
        <v>256604940.63504592</v>
      </c>
      <c r="L20" s="47">
        <v>258008141.86691159</v>
      </c>
      <c r="M20" s="47">
        <v>258008141.86691159</v>
      </c>
    </row>
    <row r="21" spans="1:13" ht="57" x14ac:dyDescent="0.25">
      <c r="A21" s="1" t="s">
        <v>177</v>
      </c>
      <c r="B21" s="1" t="s">
        <v>137</v>
      </c>
      <c r="C21" s="1" t="s">
        <v>19</v>
      </c>
      <c r="D21" s="45">
        <v>346</v>
      </c>
      <c r="E21" s="46">
        <v>316</v>
      </c>
      <c r="F21" s="45">
        <v>281</v>
      </c>
      <c r="G21" s="45">
        <v>281</v>
      </c>
      <c r="H21" s="45">
        <v>281</v>
      </c>
      <c r="I21" s="48">
        <v>14248999.380000001</v>
      </c>
      <c r="J21" s="48">
        <v>11720661.217838416</v>
      </c>
      <c r="K21" s="47">
        <v>13185083.009637296</v>
      </c>
      <c r="L21" s="47">
        <v>13257183.432472441</v>
      </c>
      <c r="M21" s="47">
        <v>13257183.432472441</v>
      </c>
    </row>
    <row r="22" spans="1:13" ht="42.75" x14ac:dyDescent="0.25">
      <c r="A22" s="1" t="s">
        <v>178</v>
      </c>
      <c r="B22" s="1" t="s">
        <v>137</v>
      </c>
      <c r="C22" s="1" t="s">
        <v>19</v>
      </c>
      <c r="D22" s="45">
        <v>25</v>
      </c>
      <c r="E22" s="46">
        <v>25</v>
      </c>
      <c r="F22" s="45">
        <v>25</v>
      </c>
      <c r="G22" s="45">
        <v>25</v>
      </c>
      <c r="H22" s="45">
        <v>25</v>
      </c>
      <c r="I22" s="48">
        <v>906056.31</v>
      </c>
      <c r="J22" s="48">
        <v>1105375.7327087393</v>
      </c>
      <c r="K22" s="47">
        <v>1243485.3735403228</v>
      </c>
      <c r="L22" s="47">
        <v>1250285.165483691</v>
      </c>
      <c r="M22" s="47">
        <v>1250285.165483691</v>
      </c>
    </row>
    <row r="23" spans="1:13" ht="28.5" x14ac:dyDescent="0.25">
      <c r="A23" s="1" t="s">
        <v>179</v>
      </c>
      <c r="B23" s="1" t="s">
        <v>137</v>
      </c>
      <c r="C23" s="1" t="s">
        <v>19</v>
      </c>
      <c r="D23" s="45">
        <v>25</v>
      </c>
      <c r="E23" s="46">
        <v>26</v>
      </c>
      <c r="F23" s="45">
        <v>20</v>
      </c>
      <c r="G23" s="45">
        <v>20</v>
      </c>
      <c r="H23" s="45">
        <v>20</v>
      </c>
      <c r="I23" s="48">
        <v>3830656.31</v>
      </c>
      <c r="J23" s="48">
        <v>5714479.362417087</v>
      </c>
      <c r="K23" s="47">
        <v>6428467.0762136551</v>
      </c>
      <c r="L23" s="47">
        <v>6463620.0740399137</v>
      </c>
      <c r="M23" s="47">
        <v>6463620.0740399137</v>
      </c>
    </row>
    <row r="24" spans="1:13" ht="28.5" x14ac:dyDescent="0.25">
      <c r="A24" s="1" t="s">
        <v>180</v>
      </c>
      <c r="B24" s="1" t="s">
        <v>137</v>
      </c>
      <c r="C24" s="1" t="s">
        <v>19</v>
      </c>
      <c r="D24" s="45">
        <v>1</v>
      </c>
      <c r="E24" s="46">
        <v>3</v>
      </c>
      <c r="F24" s="45">
        <v>8</v>
      </c>
      <c r="G24" s="45">
        <v>8</v>
      </c>
      <c r="H24" s="45">
        <v>8</v>
      </c>
      <c r="I24" s="48">
        <v>176922.25</v>
      </c>
      <c r="J24" s="48">
        <v>679066.81912504777</v>
      </c>
      <c r="K24" s="47">
        <v>763911.88285752456</v>
      </c>
      <c r="L24" s="47">
        <v>768089.20731748897</v>
      </c>
      <c r="M24" s="47">
        <v>768089.20731748897</v>
      </c>
    </row>
    <row r="25" spans="1:13" s="49" customFormat="1" ht="28.5" x14ac:dyDescent="0.25">
      <c r="A25" s="15" t="s">
        <v>181</v>
      </c>
      <c r="B25" s="15" t="s">
        <v>137</v>
      </c>
      <c r="C25" s="15" t="s">
        <v>19</v>
      </c>
      <c r="D25" s="46">
        <v>4861</v>
      </c>
      <c r="E25" s="46">
        <v>4517</v>
      </c>
      <c r="F25" s="46">
        <v>4237</v>
      </c>
      <c r="G25" s="46">
        <v>4237</v>
      </c>
      <c r="H25" s="46">
        <v>4237</v>
      </c>
      <c r="I25" s="58">
        <v>433118807.06</v>
      </c>
      <c r="J25" s="58">
        <v>449745092.16032958</v>
      </c>
      <c r="K25" s="58">
        <v>402926189.33999997</v>
      </c>
      <c r="L25" s="58">
        <v>369578166.33999997</v>
      </c>
      <c r="M25" s="58">
        <v>374601703.99000001</v>
      </c>
    </row>
    <row r="26" spans="1:13" s="49" customFormat="1" ht="59.25" customHeight="1" x14ac:dyDescent="0.25">
      <c r="A26" s="15" t="s">
        <v>182</v>
      </c>
      <c r="B26" s="15" t="s">
        <v>137</v>
      </c>
      <c r="C26" s="15" t="s">
        <v>19</v>
      </c>
      <c r="D26" s="46">
        <v>23</v>
      </c>
      <c r="E26" s="46">
        <v>21</v>
      </c>
      <c r="F26" s="46">
        <v>18</v>
      </c>
      <c r="G26" s="46">
        <v>18</v>
      </c>
      <c r="H26" s="46">
        <v>18</v>
      </c>
      <c r="I26" s="58">
        <v>2026934.49</v>
      </c>
      <c r="J26" s="58">
        <v>1355646.6004708668</v>
      </c>
      <c r="K26" s="58">
        <v>1214522.47</v>
      </c>
      <c r="L26" s="58">
        <v>1114003.01</v>
      </c>
      <c r="M26" s="58">
        <v>1129145.24</v>
      </c>
    </row>
    <row r="27" spans="1:13" s="49" customFormat="1" ht="28.5" x14ac:dyDescent="0.25">
      <c r="A27" s="15" t="s">
        <v>183</v>
      </c>
      <c r="B27" s="15" t="s">
        <v>137</v>
      </c>
      <c r="C27" s="15" t="s">
        <v>19</v>
      </c>
      <c r="D27" s="46">
        <v>19410</v>
      </c>
      <c r="E27" s="46">
        <v>18913</v>
      </c>
      <c r="F27" s="46">
        <v>18109</v>
      </c>
      <c r="G27" s="46">
        <v>18109</v>
      </c>
      <c r="H27" s="46">
        <v>18109</v>
      </c>
      <c r="I27" s="58">
        <v>1551759422.74</v>
      </c>
      <c r="J27" s="58">
        <v>1740729868.8978877</v>
      </c>
      <c r="K27" s="58">
        <f>1559518191.46-0.01</f>
        <v>1559518191.45</v>
      </c>
      <c r="L27" s="58">
        <v>1430445299.48</v>
      </c>
      <c r="M27" s="58">
        <f>1449888806.91+0.02</f>
        <v>1449888806.9300001</v>
      </c>
    </row>
    <row r="28" spans="1:13" s="49" customFormat="1" ht="28.5" x14ac:dyDescent="0.25">
      <c r="A28" s="15" t="s">
        <v>184</v>
      </c>
      <c r="B28" s="15" t="s">
        <v>137</v>
      </c>
      <c r="C28" s="15" t="s">
        <v>19</v>
      </c>
      <c r="D28" s="46">
        <v>9</v>
      </c>
      <c r="E28" s="46">
        <v>9</v>
      </c>
      <c r="F28" s="46">
        <v>10</v>
      </c>
      <c r="G28" s="46">
        <v>10</v>
      </c>
      <c r="H28" s="46">
        <v>10</v>
      </c>
      <c r="I28" s="58">
        <v>2523983.06</v>
      </c>
      <c r="J28" s="58">
        <v>1247437.1159160829</v>
      </c>
      <c r="K28" s="58">
        <v>1117577.7</v>
      </c>
      <c r="L28" s="58">
        <v>1025081.83</v>
      </c>
      <c r="M28" s="58">
        <v>1039015.38</v>
      </c>
    </row>
    <row r="29" spans="1:13" s="49" customFormat="1" ht="28.5" x14ac:dyDescent="0.25">
      <c r="A29" s="15" t="s">
        <v>185</v>
      </c>
      <c r="B29" s="15" t="s">
        <v>137</v>
      </c>
      <c r="C29" s="15" t="s">
        <v>19</v>
      </c>
      <c r="D29" s="46">
        <v>123</v>
      </c>
      <c r="E29" s="46">
        <v>148</v>
      </c>
      <c r="F29" s="46">
        <v>167</v>
      </c>
      <c r="G29" s="46">
        <v>167</v>
      </c>
      <c r="H29" s="46">
        <v>167</v>
      </c>
      <c r="I29" s="58">
        <v>13367401.85</v>
      </c>
      <c r="J29" s="58">
        <v>18033875.192842335</v>
      </c>
      <c r="K29" s="58">
        <v>16156531.189999999</v>
      </c>
      <c r="L29" s="58">
        <v>14819342.42</v>
      </c>
      <c r="M29" s="58">
        <v>15020776.189999999</v>
      </c>
    </row>
    <row r="30" spans="1:13" s="49" customFormat="1" ht="42.75" x14ac:dyDescent="0.25">
      <c r="A30" s="15" t="s">
        <v>186</v>
      </c>
      <c r="B30" s="15" t="s">
        <v>137</v>
      </c>
      <c r="C30" s="15" t="s">
        <v>19</v>
      </c>
      <c r="D30" s="46">
        <v>9</v>
      </c>
      <c r="E30" s="46"/>
      <c r="F30" s="46">
        <v>2</v>
      </c>
      <c r="G30" s="46">
        <v>2</v>
      </c>
      <c r="H30" s="46">
        <v>2</v>
      </c>
      <c r="I30" s="58">
        <v>1667383.06</v>
      </c>
      <c r="J30" s="58"/>
      <c r="K30" s="58">
        <v>1694612.3933307552</v>
      </c>
      <c r="L30" s="58">
        <v>1554358.48</v>
      </c>
      <c r="M30" s="58">
        <v>1575486.29</v>
      </c>
    </row>
    <row r="31" spans="1:13" s="49" customFormat="1" ht="42.75" x14ac:dyDescent="0.25">
      <c r="A31" s="15" t="s">
        <v>187</v>
      </c>
      <c r="B31" s="15" t="s">
        <v>137</v>
      </c>
      <c r="C31" s="15" t="s">
        <v>19</v>
      </c>
      <c r="D31" s="46">
        <v>1558</v>
      </c>
      <c r="E31" s="46">
        <v>1537</v>
      </c>
      <c r="F31" s="46">
        <v>1522</v>
      </c>
      <c r="G31" s="46">
        <v>1522</v>
      </c>
      <c r="H31" s="46">
        <v>1522</v>
      </c>
      <c r="I31" s="58">
        <v>158580123.37</v>
      </c>
      <c r="J31" s="58">
        <v>191373830.61255881</v>
      </c>
      <c r="K31" s="58">
        <v>171451628.16</v>
      </c>
      <c r="L31" s="58">
        <v>157261503.53999999</v>
      </c>
      <c r="M31" s="58">
        <v>159399100.28</v>
      </c>
    </row>
    <row r="32" spans="1:13" s="49" customFormat="1" x14ac:dyDescent="0.25">
      <c r="A32" s="15" t="s">
        <v>188</v>
      </c>
      <c r="B32" s="15" t="s">
        <v>189</v>
      </c>
      <c r="C32" s="15" t="s">
        <v>190</v>
      </c>
      <c r="D32" s="46">
        <v>553350</v>
      </c>
      <c r="E32" s="46">
        <v>560056</v>
      </c>
      <c r="F32" s="46">
        <v>572660</v>
      </c>
      <c r="G32" s="46">
        <v>572660</v>
      </c>
      <c r="H32" s="46">
        <v>572660</v>
      </c>
      <c r="I32" s="58">
        <v>28987170.34</v>
      </c>
      <c r="J32" s="58">
        <v>43848568.329999998</v>
      </c>
      <c r="K32" s="58">
        <v>39283889.590000004</v>
      </c>
      <c r="L32" s="58">
        <v>36032574.369999997</v>
      </c>
      <c r="M32" s="58">
        <v>36522351.659999996</v>
      </c>
    </row>
    <row r="33" spans="1:13" s="49" customFormat="1" x14ac:dyDescent="0.25">
      <c r="A33" s="15" t="s">
        <v>191</v>
      </c>
      <c r="B33" s="15" t="s">
        <v>189</v>
      </c>
      <c r="C33" s="15" t="s">
        <v>190</v>
      </c>
      <c r="D33" s="46">
        <v>654</v>
      </c>
      <c r="E33" s="46"/>
      <c r="F33" s="46"/>
      <c r="G33" s="46"/>
      <c r="H33" s="46"/>
      <c r="I33" s="58">
        <v>102100.00000000001</v>
      </c>
      <c r="J33" s="58"/>
      <c r="K33" s="58">
        <v>0</v>
      </c>
      <c r="L33" s="58">
        <v>0</v>
      </c>
      <c r="M33" s="58">
        <v>0</v>
      </c>
    </row>
    <row r="34" spans="1:13" s="49" customFormat="1" x14ac:dyDescent="0.25">
      <c r="A34" s="15" t="s">
        <v>192</v>
      </c>
      <c r="B34" s="15" t="s">
        <v>189</v>
      </c>
      <c r="C34" s="15" t="s">
        <v>190</v>
      </c>
      <c r="D34" s="46">
        <v>3828</v>
      </c>
      <c r="E34" s="46"/>
      <c r="F34" s="46"/>
      <c r="G34" s="46"/>
      <c r="H34" s="46"/>
      <c r="I34" s="58">
        <v>551800</v>
      </c>
      <c r="J34" s="58"/>
      <c r="K34" s="58">
        <v>0</v>
      </c>
      <c r="L34" s="58">
        <v>0</v>
      </c>
      <c r="M34" s="58">
        <v>0</v>
      </c>
    </row>
    <row r="35" spans="1:13" s="49" customFormat="1" x14ac:dyDescent="0.25">
      <c r="A35" s="15" t="s">
        <v>193</v>
      </c>
      <c r="B35" s="15" t="s">
        <v>189</v>
      </c>
      <c r="C35" s="15" t="s">
        <v>190</v>
      </c>
      <c r="D35" s="46">
        <v>2648372</v>
      </c>
      <c r="E35" s="46">
        <v>2886179</v>
      </c>
      <c r="F35" s="46">
        <v>2724245</v>
      </c>
      <c r="G35" s="46">
        <v>2724245</v>
      </c>
      <c r="H35" s="46">
        <v>2724245</v>
      </c>
      <c r="I35" s="58">
        <v>189389800</v>
      </c>
      <c r="J35" s="58">
        <v>254060383.87776387</v>
      </c>
      <c r="K35" s="58">
        <v>227612450.08000001</v>
      </c>
      <c r="L35" s="58">
        <v>208774197.75999999</v>
      </c>
      <c r="M35" s="58">
        <v>211611987.27000001</v>
      </c>
    </row>
    <row r="36" spans="1:13" ht="46.15" customHeight="1" x14ac:dyDescent="0.25">
      <c r="A36" s="15" t="s">
        <v>194</v>
      </c>
      <c r="B36" s="15" t="s">
        <v>195</v>
      </c>
      <c r="C36" s="15" t="s">
        <v>19</v>
      </c>
      <c r="D36" s="45">
        <v>825319</v>
      </c>
      <c r="E36" s="46">
        <v>545608</v>
      </c>
      <c r="F36" s="45">
        <v>473408</v>
      </c>
      <c r="G36" s="45">
        <v>473408</v>
      </c>
      <c r="H36" s="45">
        <v>473408</v>
      </c>
      <c r="I36" s="47">
        <v>75739793.090000004</v>
      </c>
      <c r="J36" s="47">
        <v>60155214.399341419</v>
      </c>
      <c r="K36" s="47">
        <v>50430844.898175605</v>
      </c>
      <c r="L36" s="47">
        <v>50040009.394434907</v>
      </c>
      <c r="M36" s="47">
        <v>50040009.394434907</v>
      </c>
    </row>
    <row r="37" spans="1:13" ht="25.5" x14ac:dyDescent="0.25">
      <c r="A37" s="17" t="s">
        <v>196</v>
      </c>
      <c r="B37" s="15" t="s">
        <v>195</v>
      </c>
      <c r="C37" s="15" t="s">
        <v>19</v>
      </c>
      <c r="D37" s="45">
        <v>235730</v>
      </c>
      <c r="E37" s="46">
        <v>142070</v>
      </c>
      <c r="F37" s="45">
        <v>140400</v>
      </c>
      <c r="G37" s="45">
        <v>140400</v>
      </c>
      <c r="H37" s="45">
        <v>140400</v>
      </c>
      <c r="I37" s="47">
        <v>21388843.829999998</v>
      </c>
      <c r="J37" s="47">
        <v>13251503.915057726</v>
      </c>
      <c r="K37" s="47">
        <v>11109336.826088335</v>
      </c>
      <c r="L37" s="47">
        <v>11023240.246437211</v>
      </c>
      <c r="M37" s="47">
        <v>11023240.246437211</v>
      </c>
    </row>
    <row r="38" spans="1:13" ht="28.5" x14ac:dyDescent="0.25">
      <c r="A38" s="15" t="s">
        <v>197</v>
      </c>
      <c r="B38" s="15" t="s">
        <v>195</v>
      </c>
      <c r="C38" s="15" t="s">
        <v>19</v>
      </c>
      <c r="D38" s="45">
        <v>463715</v>
      </c>
      <c r="E38" s="46">
        <v>429603</v>
      </c>
      <c r="F38" s="45">
        <v>398308</v>
      </c>
      <c r="G38" s="45">
        <v>398308</v>
      </c>
      <c r="H38" s="45">
        <v>398308</v>
      </c>
      <c r="I38" s="47">
        <v>43439736.57</v>
      </c>
      <c r="J38" s="47">
        <v>43346454.977336243</v>
      </c>
      <c r="K38" s="47">
        <v>36339299.421925567</v>
      </c>
      <c r="L38" s="47">
        <v>36057672.405288652</v>
      </c>
      <c r="M38" s="47">
        <v>36057672.405288652</v>
      </c>
    </row>
    <row r="39" spans="1:13" ht="28.5" x14ac:dyDescent="0.25">
      <c r="A39" s="15" t="s">
        <v>198</v>
      </c>
      <c r="B39" s="15" t="s">
        <v>195</v>
      </c>
      <c r="C39" s="15" t="s">
        <v>19</v>
      </c>
      <c r="D39" s="45">
        <v>126669</v>
      </c>
      <c r="E39" s="46">
        <v>88018</v>
      </c>
      <c r="F39" s="45">
        <v>74168</v>
      </c>
      <c r="G39" s="45">
        <v>74168</v>
      </c>
      <c r="H39" s="45">
        <v>74168</v>
      </c>
      <c r="I39" s="47">
        <v>12329093.529999999</v>
      </c>
      <c r="J39" s="47">
        <v>8836467.4159678649</v>
      </c>
      <c r="K39" s="47">
        <v>7408011.4608873669</v>
      </c>
      <c r="L39" s="47">
        <v>7350599.892691778</v>
      </c>
      <c r="M39" s="47">
        <v>7350599.892691778</v>
      </c>
    </row>
    <row r="40" spans="1:13" ht="28.5" x14ac:dyDescent="0.25">
      <c r="A40" s="15" t="s">
        <v>199</v>
      </c>
      <c r="B40" s="15" t="s">
        <v>195</v>
      </c>
      <c r="C40" s="15" t="s">
        <v>19</v>
      </c>
      <c r="D40" s="45">
        <v>27904</v>
      </c>
      <c r="E40" s="46">
        <v>39359</v>
      </c>
      <c r="F40" s="45">
        <v>48060</v>
      </c>
      <c r="G40" s="45">
        <v>48060</v>
      </c>
      <c r="H40" s="45">
        <v>48060</v>
      </c>
      <c r="I40" s="47">
        <v>2578190.58</v>
      </c>
      <c r="J40" s="47">
        <v>3436316.4817305449</v>
      </c>
      <c r="K40" s="47">
        <v>2880819.979474545</v>
      </c>
      <c r="L40" s="47">
        <v>2858493.8270942401</v>
      </c>
      <c r="M40" s="47">
        <v>2858493.8270942401</v>
      </c>
    </row>
    <row r="41" spans="1:13" ht="28.5" x14ac:dyDescent="0.25">
      <c r="A41" s="15" t="s">
        <v>200</v>
      </c>
      <c r="B41" s="15" t="s">
        <v>195</v>
      </c>
      <c r="C41" s="15" t="s">
        <v>19</v>
      </c>
      <c r="D41" s="45">
        <v>125847</v>
      </c>
      <c r="E41" s="46">
        <v>80432</v>
      </c>
      <c r="F41" s="45">
        <v>78440</v>
      </c>
      <c r="G41" s="45">
        <v>78440</v>
      </c>
      <c r="H41" s="45">
        <v>78440</v>
      </c>
      <c r="I41" s="47">
        <v>10956256.359999999</v>
      </c>
      <c r="J41" s="47">
        <v>8092478.9805661011</v>
      </c>
      <c r="K41" s="47">
        <v>6784292.2078446327</v>
      </c>
      <c r="L41" s="47">
        <v>6731714.4200258739</v>
      </c>
      <c r="M41" s="47">
        <v>6731714.4200258739</v>
      </c>
    </row>
    <row r="42" spans="1:13" s="18" customFormat="1" ht="28.5" x14ac:dyDescent="0.25">
      <c r="A42" s="13" t="s">
        <v>201</v>
      </c>
      <c r="B42" s="13" t="s">
        <v>202</v>
      </c>
      <c r="C42" s="13" t="s">
        <v>203</v>
      </c>
      <c r="D42" s="50">
        <v>177</v>
      </c>
      <c r="E42" s="50">
        <v>179</v>
      </c>
      <c r="F42" s="50">
        <v>179</v>
      </c>
      <c r="G42" s="50">
        <v>179</v>
      </c>
      <c r="H42" s="50">
        <v>179</v>
      </c>
      <c r="I42" s="51">
        <v>2897499.9999999995</v>
      </c>
      <c r="J42" s="51">
        <v>1457900.51</v>
      </c>
      <c r="K42" s="51">
        <v>1222224.1285468023</v>
      </c>
      <c r="L42" s="51">
        <v>1212751.9774470315</v>
      </c>
      <c r="M42" s="51">
        <v>1212751.9774470315</v>
      </c>
    </row>
    <row r="43" spans="1:13" s="18" customFormat="1" ht="28.5" x14ac:dyDescent="0.25">
      <c r="A43" s="13" t="s">
        <v>204</v>
      </c>
      <c r="B43" s="13" t="s">
        <v>205</v>
      </c>
      <c r="C43" s="13" t="s">
        <v>203</v>
      </c>
      <c r="D43" s="50">
        <v>105</v>
      </c>
      <c r="E43" s="50">
        <v>110</v>
      </c>
      <c r="F43" s="50">
        <v>110</v>
      </c>
      <c r="G43" s="50">
        <v>110</v>
      </c>
      <c r="H43" s="50">
        <v>110</v>
      </c>
      <c r="I43" s="51">
        <v>276600</v>
      </c>
      <c r="J43" s="51">
        <v>285954.57</v>
      </c>
      <c r="K43" s="51">
        <v>239728.68705713365</v>
      </c>
      <c r="L43" s="51">
        <v>237870.80658028962</v>
      </c>
      <c r="M43" s="51">
        <v>237870.80658028962</v>
      </c>
    </row>
    <row r="44" spans="1:13" ht="35.25" customHeight="1" x14ac:dyDescent="0.25">
      <c r="A44" s="1" t="s">
        <v>207</v>
      </c>
      <c r="B44" s="1" t="s">
        <v>195</v>
      </c>
      <c r="C44" s="1" t="s">
        <v>19</v>
      </c>
      <c r="D44" s="45">
        <v>171934</v>
      </c>
      <c r="E44" s="46">
        <v>481363</v>
      </c>
      <c r="F44" s="45">
        <v>599904</v>
      </c>
      <c r="G44" s="45">
        <v>599904</v>
      </c>
      <c r="H44" s="45">
        <v>599904</v>
      </c>
      <c r="I44" s="48">
        <v>12240429.630000001</v>
      </c>
      <c r="J44" s="48">
        <v>41799905.68721059</v>
      </c>
      <c r="K44" s="48">
        <v>55217716.174954459</v>
      </c>
      <c r="L44" s="48">
        <v>55217716.174954459</v>
      </c>
      <c r="M44" s="47">
        <v>55217716.174954459</v>
      </c>
    </row>
    <row r="45" spans="1:13" ht="25.5" x14ac:dyDescent="0.25">
      <c r="A45" s="17" t="s">
        <v>196</v>
      </c>
      <c r="B45" s="1" t="s">
        <v>195</v>
      </c>
      <c r="C45" s="1" t="s">
        <v>19</v>
      </c>
      <c r="D45" s="45">
        <v>46857</v>
      </c>
      <c r="E45" s="46">
        <v>133790</v>
      </c>
      <c r="F45" s="45">
        <v>170780</v>
      </c>
      <c r="G45" s="45">
        <v>170780</v>
      </c>
      <c r="H45" s="45">
        <v>170780</v>
      </c>
      <c r="I45" s="48">
        <v>2712670.12</v>
      </c>
      <c r="J45" s="48">
        <v>11254791.50987233</v>
      </c>
      <c r="K45" s="48">
        <v>14867590.559912801</v>
      </c>
      <c r="L45" s="48">
        <v>14867590.559912801</v>
      </c>
      <c r="M45" s="47">
        <v>14867590.559912801</v>
      </c>
    </row>
    <row r="46" spans="1:13" ht="28.5" x14ac:dyDescent="0.25">
      <c r="A46" s="1" t="s">
        <v>197</v>
      </c>
      <c r="B46" s="1" t="s">
        <v>195</v>
      </c>
      <c r="C46" s="1" t="s">
        <v>19</v>
      </c>
      <c r="D46" s="45">
        <v>52988</v>
      </c>
      <c r="E46" s="46">
        <v>153525</v>
      </c>
      <c r="F46" s="45">
        <v>204832</v>
      </c>
      <c r="G46" s="45">
        <v>204832</v>
      </c>
      <c r="H46" s="45">
        <v>204832</v>
      </c>
      <c r="I46" s="48">
        <v>3393765.58</v>
      </c>
      <c r="J46" s="48">
        <v>13493348.539653931</v>
      </c>
      <c r="K46" s="48">
        <v>17824726.5792352</v>
      </c>
      <c r="L46" s="48">
        <v>17824726.5792352</v>
      </c>
      <c r="M46" s="47">
        <v>17824726.5792352</v>
      </c>
    </row>
    <row r="47" spans="1:13" ht="28.5" x14ac:dyDescent="0.25">
      <c r="A47" s="1" t="s">
        <v>208</v>
      </c>
      <c r="B47" s="1" t="s">
        <v>195</v>
      </c>
      <c r="C47" s="1" t="s">
        <v>19</v>
      </c>
      <c r="D47" s="45">
        <v>24037</v>
      </c>
      <c r="E47" s="46">
        <v>73056</v>
      </c>
      <c r="F47" s="45">
        <v>101160</v>
      </c>
      <c r="G47" s="45">
        <v>101160</v>
      </c>
      <c r="H47" s="45">
        <v>101160</v>
      </c>
      <c r="I47" s="48">
        <v>1188382.5</v>
      </c>
      <c r="J47" s="48">
        <v>5884755.7476440165</v>
      </c>
      <c r="K47" s="48">
        <v>7773768.0812940486</v>
      </c>
      <c r="L47" s="48">
        <v>7773768.0812940486</v>
      </c>
      <c r="M47" s="47">
        <v>7773768.0812940486</v>
      </c>
    </row>
    <row r="48" spans="1:13" ht="28.5" x14ac:dyDescent="0.25">
      <c r="A48" s="1" t="s">
        <v>199</v>
      </c>
      <c r="B48" s="1" t="s">
        <v>195</v>
      </c>
      <c r="C48" s="1" t="s">
        <v>19</v>
      </c>
      <c r="D48" s="45">
        <v>2816</v>
      </c>
      <c r="E48" s="46">
        <v>7488</v>
      </c>
      <c r="F48" s="45">
        <v>11952</v>
      </c>
      <c r="G48" s="45">
        <v>11952</v>
      </c>
      <c r="H48" s="45">
        <v>11952</v>
      </c>
      <c r="I48" s="48">
        <v>198756.18</v>
      </c>
      <c r="J48" s="48">
        <v>598340.92132225132</v>
      </c>
      <c r="K48" s="48">
        <v>790408.94055274618</v>
      </c>
      <c r="L48" s="48">
        <v>790408.94055274618</v>
      </c>
      <c r="M48" s="47">
        <v>790408.94055274618</v>
      </c>
    </row>
    <row r="49" spans="1:13" ht="28.5" x14ac:dyDescent="0.25">
      <c r="A49" s="1" t="s">
        <v>200</v>
      </c>
      <c r="B49" s="1" t="s">
        <v>195</v>
      </c>
      <c r="C49" s="1" t="s">
        <v>19</v>
      </c>
      <c r="D49" s="45">
        <v>25540</v>
      </c>
      <c r="E49" s="46">
        <v>76608</v>
      </c>
      <c r="F49" s="45">
        <v>95380</v>
      </c>
      <c r="G49" s="45">
        <v>95380</v>
      </c>
      <c r="H49" s="45">
        <v>95380</v>
      </c>
      <c r="I49" s="48">
        <v>1841373.7</v>
      </c>
      <c r="J49" s="48">
        <v>6540370.7842968795</v>
      </c>
      <c r="K49" s="48">
        <v>8639836.1840507183</v>
      </c>
      <c r="L49" s="48">
        <v>8639836.1840507183</v>
      </c>
      <c r="M49" s="47">
        <v>8639836.1840507183</v>
      </c>
    </row>
    <row r="50" spans="1:13" s="62" customFormat="1" x14ac:dyDescent="0.25">
      <c r="A50" s="59" t="s">
        <v>209</v>
      </c>
      <c r="B50" s="63" t="s">
        <v>210</v>
      </c>
      <c r="C50" s="63" t="s">
        <v>24</v>
      </c>
      <c r="D50" s="60">
        <v>44905</v>
      </c>
      <c r="E50" s="60">
        <v>69167</v>
      </c>
      <c r="F50" s="60">
        <v>69510</v>
      </c>
      <c r="G50" s="60">
        <v>69510</v>
      </c>
      <c r="H50" s="60">
        <v>69510</v>
      </c>
      <c r="I50" s="61">
        <v>14877899.93</v>
      </c>
      <c r="J50" s="61">
        <v>15969071.550000001</v>
      </c>
      <c r="K50" s="61">
        <v>16718762.449999999</v>
      </c>
      <c r="L50" s="61">
        <v>16276109.82</v>
      </c>
      <c r="M50" s="61">
        <v>16276109.82</v>
      </c>
    </row>
    <row r="51" spans="1:13" s="62" customFormat="1" ht="28.5" x14ac:dyDescent="0.25">
      <c r="A51" s="59" t="s">
        <v>226</v>
      </c>
      <c r="B51" s="59" t="s">
        <v>202</v>
      </c>
      <c r="C51" s="59" t="s">
        <v>202</v>
      </c>
      <c r="D51" s="60">
        <v>86</v>
      </c>
      <c r="E51" s="60"/>
      <c r="F51" s="60"/>
      <c r="G51" s="60"/>
      <c r="H51" s="60"/>
      <c r="I51" s="61">
        <v>5791909</v>
      </c>
      <c r="J51" s="61">
        <v>0</v>
      </c>
      <c r="K51" s="61">
        <v>0</v>
      </c>
      <c r="L51" s="61">
        <v>0</v>
      </c>
      <c r="M51" s="61">
        <v>0</v>
      </c>
    </row>
    <row r="52" spans="1:13" s="62" customFormat="1" ht="61.9" customHeight="1" x14ac:dyDescent="0.25">
      <c r="A52" s="59" t="s">
        <v>227</v>
      </c>
      <c r="B52" s="59" t="s">
        <v>202</v>
      </c>
      <c r="C52" s="59" t="s">
        <v>202</v>
      </c>
      <c r="D52" s="60"/>
      <c r="E52" s="60">
        <v>375</v>
      </c>
      <c r="F52" s="60">
        <v>375</v>
      </c>
      <c r="G52" s="60">
        <v>375</v>
      </c>
      <c r="H52" s="60">
        <v>375</v>
      </c>
      <c r="I52" s="61"/>
      <c r="J52" s="61">
        <v>6629158.4199999999</v>
      </c>
      <c r="K52" s="61">
        <v>7375119.6200000001</v>
      </c>
      <c r="L52" s="61">
        <v>7327305</v>
      </c>
      <c r="M52" s="61">
        <v>7327305</v>
      </c>
    </row>
    <row r="53" spans="1:13" ht="28.5" x14ac:dyDescent="0.25">
      <c r="A53" s="13" t="s">
        <v>211</v>
      </c>
      <c r="B53" s="13" t="s">
        <v>212</v>
      </c>
      <c r="C53" s="13" t="s">
        <v>19</v>
      </c>
      <c r="D53" s="45">
        <v>1955</v>
      </c>
      <c r="E53" s="45">
        <v>1700</v>
      </c>
      <c r="F53" s="45">
        <v>1700</v>
      </c>
      <c r="G53" s="45">
        <v>1700</v>
      </c>
      <c r="H53" s="45">
        <v>1700</v>
      </c>
      <c r="I53" s="47">
        <v>2851773.14</v>
      </c>
      <c r="J53" s="47">
        <v>4157989.4633116033</v>
      </c>
      <c r="K53" s="47">
        <v>4465102.9095700858</v>
      </c>
      <c r="L53" s="47">
        <v>4434305.8375874665</v>
      </c>
      <c r="M53" s="47">
        <v>4434305.8375874665</v>
      </c>
    </row>
    <row r="54" spans="1:13" ht="33" customHeight="1" x14ac:dyDescent="0.25">
      <c r="A54" s="13" t="s">
        <v>213</v>
      </c>
      <c r="B54" s="13" t="s">
        <v>137</v>
      </c>
      <c r="C54" s="13" t="s">
        <v>19</v>
      </c>
      <c r="D54" s="45">
        <v>1297</v>
      </c>
      <c r="E54" s="45">
        <v>1400</v>
      </c>
      <c r="F54" s="45">
        <v>1400</v>
      </c>
      <c r="G54" s="45">
        <v>1400</v>
      </c>
      <c r="H54" s="45">
        <v>1400</v>
      </c>
      <c r="I54" s="47">
        <v>1997266.73</v>
      </c>
      <c r="J54" s="47">
        <v>3319165.22684485</v>
      </c>
      <c r="K54" s="47">
        <v>3564322.2385477559</v>
      </c>
      <c r="L54" s="47">
        <v>3539738.1044812077</v>
      </c>
      <c r="M54" s="47">
        <v>3539738.1044812077</v>
      </c>
    </row>
    <row r="55" spans="1:13" ht="28.5" x14ac:dyDescent="0.25">
      <c r="A55" s="13" t="s">
        <v>214</v>
      </c>
      <c r="B55" s="13" t="s">
        <v>212</v>
      </c>
      <c r="C55" s="13" t="s">
        <v>19</v>
      </c>
      <c r="D55" s="45">
        <v>71</v>
      </c>
      <c r="E55" s="45">
        <v>70</v>
      </c>
      <c r="F55" s="45">
        <v>70</v>
      </c>
      <c r="G55" s="45">
        <v>70</v>
      </c>
      <c r="H55" s="45">
        <v>70</v>
      </c>
      <c r="I55" s="47">
        <v>860251.15</v>
      </c>
      <c r="J55" s="47">
        <v>921581.83284224255</v>
      </c>
      <c r="K55" s="47">
        <v>989650.82993584592</v>
      </c>
      <c r="L55" s="47">
        <v>982824.92951104965</v>
      </c>
      <c r="M55" s="47">
        <v>982824.92951104965</v>
      </c>
    </row>
    <row r="56" spans="1:13" x14ac:dyDescent="0.25">
      <c r="A56" s="13" t="s">
        <v>215</v>
      </c>
      <c r="B56" s="13" t="s">
        <v>206</v>
      </c>
      <c r="C56" s="13" t="s">
        <v>195</v>
      </c>
      <c r="D56" s="45">
        <v>4087</v>
      </c>
      <c r="E56" s="45">
        <v>4500</v>
      </c>
      <c r="F56" s="45">
        <v>4500</v>
      </c>
      <c r="G56" s="45">
        <v>4500</v>
      </c>
      <c r="H56" s="45">
        <v>4500</v>
      </c>
      <c r="I56" s="47">
        <v>1962500</v>
      </c>
      <c r="J56" s="47">
        <v>1366461.9170013038</v>
      </c>
      <c r="K56" s="47">
        <v>1467390.2219463119</v>
      </c>
      <c r="L56" s="47">
        <v>1457269.2184202757</v>
      </c>
      <c r="M56" s="47">
        <v>1457269.2184202757</v>
      </c>
    </row>
    <row r="57" spans="1:13" x14ac:dyDescent="0.25">
      <c r="A57" s="20" t="s">
        <v>14</v>
      </c>
      <c r="B57" s="21"/>
      <c r="C57" s="21"/>
      <c r="D57" s="22"/>
      <c r="E57" s="22"/>
      <c r="F57" s="22"/>
      <c r="G57" s="22"/>
      <c r="H57" s="22"/>
      <c r="I57" s="33">
        <f>I58+I61+I63+I65+I69+I71+I73+I75</f>
        <v>619362963.1099999</v>
      </c>
      <c r="J57" s="33">
        <f t="shared" ref="J57:M57" si="2">J58+J61+J63+J65+J69+J71+J73+J75</f>
        <v>690603506.49000001</v>
      </c>
      <c r="K57" s="33">
        <f t="shared" si="2"/>
        <v>735817866.13</v>
      </c>
      <c r="L57" s="33">
        <f t="shared" si="2"/>
        <v>692454422.13</v>
      </c>
      <c r="M57" s="33">
        <f t="shared" si="2"/>
        <v>704572559.13</v>
      </c>
    </row>
    <row r="58" spans="1:13" s="42" customFormat="1" x14ac:dyDescent="0.25">
      <c r="A58" s="24" t="s">
        <v>135</v>
      </c>
      <c r="B58" s="39"/>
      <c r="C58" s="39"/>
      <c r="D58" s="40"/>
      <c r="E58" s="40"/>
      <c r="F58" s="40"/>
      <c r="G58" s="40"/>
      <c r="H58" s="40"/>
      <c r="I58" s="41">
        <f>SUM(I59:I60)</f>
        <v>229043365.41</v>
      </c>
      <c r="J58" s="41">
        <f t="shared" ref="J58:M58" si="3">SUM(J59:J60)</f>
        <v>263039429</v>
      </c>
      <c r="K58" s="41">
        <f t="shared" si="3"/>
        <v>266896073</v>
      </c>
      <c r="L58" s="41">
        <f t="shared" si="3"/>
        <v>257410917.13</v>
      </c>
      <c r="M58" s="41">
        <f t="shared" si="3"/>
        <v>266556722</v>
      </c>
    </row>
    <row r="59" spans="1:13" ht="28.5" x14ac:dyDescent="0.25">
      <c r="A59" s="1" t="s">
        <v>136</v>
      </c>
      <c r="B59" s="1" t="s">
        <v>137</v>
      </c>
      <c r="C59" s="1" t="s">
        <v>19</v>
      </c>
      <c r="D59" s="4">
        <v>2261</v>
      </c>
      <c r="E59" s="4">
        <v>1733</v>
      </c>
      <c r="F59" s="4">
        <v>1205</v>
      </c>
      <c r="G59" s="4">
        <v>1205</v>
      </c>
      <c r="H59" s="4">
        <v>1205</v>
      </c>
      <c r="I59" s="34">
        <v>100779080.78</v>
      </c>
      <c r="J59" s="34">
        <v>87723649.569999993</v>
      </c>
      <c r="K59" s="34">
        <v>61866509.719999999</v>
      </c>
      <c r="L59" s="34">
        <v>59667850.590000004</v>
      </c>
      <c r="M59" s="34">
        <v>61787848.159999996</v>
      </c>
    </row>
    <row r="60" spans="1:13" x14ac:dyDescent="0.25">
      <c r="A60" s="1" t="s">
        <v>138</v>
      </c>
      <c r="B60" s="1" t="s">
        <v>137</v>
      </c>
      <c r="C60" s="1" t="s">
        <v>19</v>
      </c>
      <c r="D60" s="4">
        <v>2932</v>
      </c>
      <c r="E60" s="4">
        <v>3462</v>
      </c>
      <c r="F60" s="4">
        <v>3995</v>
      </c>
      <c r="G60" s="4">
        <v>3995</v>
      </c>
      <c r="H60" s="4">
        <v>3995</v>
      </c>
      <c r="I60" s="34">
        <v>128264284.63</v>
      </c>
      <c r="J60" s="34">
        <v>175315779.43000001</v>
      </c>
      <c r="K60" s="35">
        <v>205029563.28</v>
      </c>
      <c r="L60" s="35">
        <v>197743066.53999999</v>
      </c>
      <c r="M60" s="35">
        <v>204768873.84</v>
      </c>
    </row>
    <row r="61" spans="1:13" s="28" customFormat="1" x14ac:dyDescent="0.25">
      <c r="A61" s="29" t="s">
        <v>139</v>
      </c>
      <c r="B61" s="29"/>
      <c r="C61" s="29"/>
      <c r="D61" s="30"/>
      <c r="E61" s="30"/>
      <c r="F61" s="30"/>
      <c r="G61" s="30"/>
      <c r="H61" s="30"/>
      <c r="I61" s="43">
        <f>I62</f>
        <v>96681344.519999996</v>
      </c>
      <c r="J61" s="43">
        <f t="shared" ref="J61:M61" si="4">J62</f>
        <v>103660950.76000001</v>
      </c>
      <c r="K61" s="43">
        <f t="shared" si="4"/>
        <v>114652696.13</v>
      </c>
      <c r="L61" s="43">
        <f t="shared" si="4"/>
        <v>107124052</v>
      </c>
      <c r="M61" s="43">
        <f t="shared" si="4"/>
        <v>107124052</v>
      </c>
    </row>
    <row r="62" spans="1:13" ht="42.75" x14ac:dyDescent="0.25">
      <c r="A62" s="1" t="s">
        <v>140</v>
      </c>
      <c r="B62" s="1" t="s">
        <v>141</v>
      </c>
      <c r="C62" s="1" t="s">
        <v>142</v>
      </c>
      <c r="D62" s="4">
        <v>887407</v>
      </c>
      <c r="E62" s="4">
        <v>884799</v>
      </c>
      <c r="F62" s="4">
        <v>876082</v>
      </c>
      <c r="G62" s="4">
        <v>903654</v>
      </c>
      <c r="H62" s="4">
        <v>903654</v>
      </c>
      <c r="I62" s="35">
        <v>96681344.519999996</v>
      </c>
      <c r="J62" s="35">
        <v>103660950.76000001</v>
      </c>
      <c r="K62" s="35">
        <v>114652696.13</v>
      </c>
      <c r="L62" s="35">
        <v>107124052</v>
      </c>
      <c r="M62" s="35">
        <v>107124052</v>
      </c>
    </row>
    <row r="63" spans="1:13" s="28" customFormat="1" x14ac:dyDescent="0.25">
      <c r="A63" s="29" t="s">
        <v>143</v>
      </c>
      <c r="B63" s="29"/>
      <c r="C63" s="29"/>
      <c r="D63" s="30"/>
      <c r="E63" s="30"/>
      <c r="F63" s="30"/>
      <c r="G63" s="30"/>
      <c r="H63" s="30"/>
      <c r="I63" s="43">
        <f>I64</f>
        <v>69015266.459999993</v>
      </c>
      <c r="J63" s="43">
        <f t="shared" ref="J63:M63" si="5">J64</f>
        <v>75661806</v>
      </c>
      <c r="K63" s="43">
        <f t="shared" si="5"/>
        <v>81978176</v>
      </c>
      <c r="L63" s="43">
        <f t="shared" si="5"/>
        <v>81830078</v>
      </c>
      <c r="M63" s="43">
        <f t="shared" si="5"/>
        <v>81830078</v>
      </c>
    </row>
    <row r="64" spans="1:13" x14ac:dyDescent="0.25">
      <c r="A64" s="1" t="s">
        <v>144</v>
      </c>
      <c r="B64" s="1" t="s">
        <v>145</v>
      </c>
      <c r="C64" s="1" t="s">
        <v>19</v>
      </c>
      <c r="D64" s="4">
        <v>36128</v>
      </c>
      <c r="E64" s="4">
        <v>265000</v>
      </c>
      <c r="F64" s="4">
        <v>265000</v>
      </c>
      <c r="G64" s="4">
        <v>265000</v>
      </c>
      <c r="H64" s="4">
        <v>265000</v>
      </c>
      <c r="I64" s="35">
        <v>69015266.459999993</v>
      </c>
      <c r="J64" s="35">
        <v>75661806</v>
      </c>
      <c r="K64" s="35">
        <v>81978176</v>
      </c>
      <c r="L64" s="35">
        <v>81830078</v>
      </c>
      <c r="M64" s="35">
        <v>81830078</v>
      </c>
    </row>
    <row r="65" spans="1:13" s="28" customFormat="1" x14ac:dyDescent="0.25">
      <c r="A65" s="29" t="s">
        <v>146</v>
      </c>
      <c r="B65" s="29"/>
      <c r="C65" s="29"/>
      <c r="D65" s="30"/>
      <c r="E65" s="30"/>
      <c r="F65" s="30"/>
      <c r="G65" s="30"/>
      <c r="H65" s="30"/>
      <c r="I65" s="43">
        <f>I66+I67+I68</f>
        <v>143209121.18000001</v>
      </c>
      <c r="J65" s="43">
        <f t="shared" ref="J65:M65" si="6">J66+J67+J68</f>
        <v>155692214.91</v>
      </c>
      <c r="K65" s="43">
        <f t="shared" si="6"/>
        <v>170648372</v>
      </c>
      <c r="L65" s="43">
        <f t="shared" si="6"/>
        <v>155630112.99999997</v>
      </c>
      <c r="M65" s="43">
        <f t="shared" si="6"/>
        <v>158602555.13000003</v>
      </c>
    </row>
    <row r="66" spans="1:13" s="7" customFormat="1" x14ac:dyDescent="0.25">
      <c r="A66" s="1" t="s">
        <v>147</v>
      </c>
      <c r="B66" s="1" t="s">
        <v>20</v>
      </c>
      <c r="C66" s="1" t="s">
        <v>142</v>
      </c>
      <c r="D66" s="4">
        <v>3491</v>
      </c>
      <c r="E66" s="4">
        <v>3931</v>
      </c>
      <c r="F66" s="4">
        <v>3931</v>
      </c>
      <c r="G66" s="4">
        <v>3931</v>
      </c>
      <c r="H66" s="4">
        <v>3931</v>
      </c>
      <c r="I66" s="35">
        <v>42826320.850000001</v>
      </c>
      <c r="J66" s="35">
        <v>45773511.18</v>
      </c>
      <c r="K66" s="35">
        <v>50170621.369999997</v>
      </c>
      <c r="L66" s="35">
        <v>45755253.229999997</v>
      </c>
      <c r="M66" s="35">
        <v>46629151.210000001</v>
      </c>
    </row>
    <row r="67" spans="1:13" s="7" customFormat="1" ht="28.5" x14ac:dyDescent="0.25">
      <c r="A67" s="1" t="s">
        <v>148</v>
      </c>
      <c r="B67" s="1" t="s">
        <v>149</v>
      </c>
      <c r="C67" s="1" t="s">
        <v>142</v>
      </c>
      <c r="D67" s="4">
        <v>237</v>
      </c>
      <c r="E67" s="4">
        <v>252</v>
      </c>
      <c r="F67" s="4">
        <v>252</v>
      </c>
      <c r="G67" s="4">
        <v>252</v>
      </c>
      <c r="H67" s="4">
        <v>252</v>
      </c>
      <c r="I67" s="35">
        <v>100246384.83</v>
      </c>
      <c r="J67" s="35">
        <v>108984550.44</v>
      </c>
      <c r="K67" s="35">
        <v>119453860.40000001</v>
      </c>
      <c r="L67" s="35">
        <v>108941079.09999999</v>
      </c>
      <c r="M67" s="35">
        <v>111021788.59</v>
      </c>
    </row>
    <row r="68" spans="1:13" s="7" customFormat="1" x14ac:dyDescent="0.25">
      <c r="A68" s="1" t="s">
        <v>150</v>
      </c>
      <c r="B68" s="1" t="s">
        <v>151</v>
      </c>
      <c r="C68" s="1" t="s">
        <v>19</v>
      </c>
      <c r="D68" s="36">
        <v>4000</v>
      </c>
      <c r="E68" s="4">
        <v>4000</v>
      </c>
      <c r="F68" s="4">
        <v>4000</v>
      </c>
      <c r="G68" s="4">
        <v>4000</v>
      </c>
      <c r="H68" s="4">
        <v>4000</v>
      </c>
      <c r="I68" s="35">
        <v>136415.5</v>
      </c>
      <c r="J68" s="35">
        <v>934153.29</v>
      </c>
      <c r="K68" s="35">
        <v>1023890.23</v>
      </c>
      <c r="L68" s="35">
        <v>933780.67</v>
      </c>
      <c r="M68" s="35">
        <v>951615.33</v>
      </c>
    </row>
    <row r="69" spans="1:13" s="28" customFormat="1" x14ac:dyDescent="0.25">
      <c r="A69" s="29" t="s">
        <v>152</v>
      </c>
      <c r="B69" s="29"/>
      <c r="C69" s="29"/>
      <c r="D69" s="30"/>
      <c r="E69" s="30"/>
      <c r="F69" s="30"/>
      <c r="G69" s="30"/>
      <c r="H69" s="30"/>
      <c r="I69" s="43">
        <f>I70</f>
        <v>3187593.15</v>
      </c>
      <c r="J69" s="43">
        <f t="shared" ref="J69:M69" si="7">J70</f>
        <v>4280684.4400000004</v>
      </c>
      <c r="K69" s="43">
        <f t="shared" si="7"/>
        <v>4495221</v>
      </c>
      <c r="L69" s="43">
        <f t="shared" si="7"/>
        <v>4206303</v>
      </c>
      <c r="M69" s="43">
        <f t="shared" si="7"/>
        <v>4206212</v>
      </c>
    </row>
    <row r="70" spans="1:13" s="7" customFormat="1" x14ac:dyDescent="0.25">
      <c r="A70" s="37" t="s">
        <v>153</v>
      </c>
      <c r="B70" s="1" t="s">
        <v>154</v>
      </c>
      <c r="C70" s="1" t="s">
        <v>142</v>
      </c>
      <c r="D70" s="4">
        <v>44</v>
      </c>
      <c r="E70" s="4">
        <v>44</v>
      </c>
      <c r="F70" s="4">
        <v>44</v>
      </c>
      <c r="G70" s="4">
        <v>44</v>
      </c>
      <c r="H70" s="4">
        <v>44</v>
      </c>
      <c r="I70" s="35">
        <v>3187593.15</v>
      </c>
      <c r="J70" s="35">
        <v>4280684.4400000004</v>
      </c>
      <c r="K70" s="35">
        <v>4495221</v>
      </c>
      <c r="L70" s="35">
        <v>4206303</v>
      </c>
      <c r="M70" s="35">
        <v>4206212</v>
      </c>
    </row>
    <row r="71" spans="1:13" s="28" customFormat="1" x14ac:dyDescent="0.25">
      <c r="A71" s="29" t="s">
        <v>155</v>
      </c>
      <c r="B71" s="29"/>
      <c r="C71" s="29"/>
      <c r="D71" s="30"/>
      <c r="E71" s="30"/>
      <c r="F71" s="30"/>
      <c r="G71" s="30"/>
      <c r="H71" s="30"/>
      <c r="I71" s="43">
        <f>I72</f>
        <v>24554066.609999999</v>
      </c>
      <c r="J71" s="43">
        <f t="shared" ref="J71:M71" si="8">J72</f>
        <v>27965909</v>
      </c>
      <c r="K71" s="43">
        <f t="shared" si="8"/>
        <v>29587030</v>
      </c>
      <c r="L71" s="43">
        <f t="shared" si="8"/>
        <v>22157425</v>
      </c>
      <c r="M71" s="43">
        <f t="shared" si="8"/>
        <v>22157425</v>
      </c>
    </row>
    <row r="72" spans="1:13" s="7" customFormat="1" x14ac:dyDescent="0.25">
      <c r="A72" s="1" t="s">
        <v>147</v>
      </c>
      <c r="B72" s="1" t="s">
        <v>156</v>
      </c>
      <c r="C72" s="1" t="s">
        <v>19</v>
      </c>
      <c r="D72" s="4">
        <v>568598</v>
      </c>
      <c r="E72" s="4">
        <v>700000</v>
      </c>
      <c r="F72" s="4">
        <v>700000</v>
      </c>
      <c r="G72" s="4">
        <v>700000</v>
      </c>
      <c r="H72" s="4">
        <v>700000</v>
      </c>
      <c r="I72" s="35">
        <v>24554066.609999999</v>
      </c>
      <c r="J72" s="35">
        <v>27965909</v>
      </c>
      <c r="K72" s="35">
        <v>29587030</v>
      </c>
      <c r="L72" s="35">
        <v>22157425</v>
      </c>
      <c r="M72" s="35">
        <v>22157425</v>
      </c>
    </row>
    <row r="73" spans="1:13" s="28" customFormat="1" x14ac:dyDescent="0.25">
      <c r="A73" s="29" t="s">
        <v>157</v>
      </c>
      <c r="B73" s="29"/>
      <c r="C73" s="29"/>
      <c r="D73" s="30"/>
      <c r="E73" s="30"/>
      <c r="F73" s="30"/>
      <c r="G73" s="30"/>
      <c r="H73" s="30"/>
      <c r="I73" s="43">
        <f>I74</f>
        <v>9682332.8399999999</v>
      </c>
      <c r="J73" s="43">
        <f t="shared" ref="J73:M73" si="9">J74</f>
        <v>10618161</v>
      </c>
      <c r="K73" s="43">
        <f t="shared" si="9"/>
        <v>11339674</v>
      </c>
      <c r="L73" s="43">
        <f t="shared" si="9"/>
        <v>8967941</v>
      </c>
      <c r="M73" s="43">
        <f t="shared" si="9"/>
        <v>8967941</v>
      </c>
    </row>
    <row r="74" spans="1:13" s="7" customFormat="1" ht="57" x14ac:dyDescent="0.25">
      <c r="A74" s="37" t="s">
        <v>158</v>
      </c>
      <c r="B74" s="1" t="s">
        <v>159</v>
      </c>
      <c r="C74" s="1" t="s">
        <v>142</v>
      </c>
      <c r="D74" s="4">
        <v>2938</v>
      </c>
      <c r="E74" s="4">
        <v>2900</v>
      </c>
      <c r="F74" s="4">
        <v>2900</v>
      </c>
      <c r="G74" s="4">
        <v>2900</v>
      </c>
      <c r="H74" s="4">
        <v>2900</v>
      </c>
      <c r="I74" s="35">
        <v>9682332.8399999999</v>
      </c>
      <c r="J74" s="35">
        <v>10618161</v>
      </c>
      <c r="K74" s="35">
        <v>11339674</v>
      </c>
      <c r="L74" s="35">
        <v>8967941</v>
      </c>
      <c r="M74" s="35">
        <v>8967941</v>
      </c>
    </row>
    <row r="75" spans="1:13" s="28" customFormat="1" x14ac:dyDescent="0.25">
      <c r="A75" s="44" t="s">
        <v>160</v>
      </c>
      <c r="B75" s="29"/>
      <c r="C75" s="29"/>
      <c r="D75" s="30"/>
      <c r="E75" s="30"/>
      <c r="F75" s="30"/>
      <c r="G75" s="30"/>
      <c r="H75" s="30"/>
      <c r="I75" s="43">
        <f>I76</f>
        <v>43989872.939999998</v>
      </c>
      <c r="J75" s="43">
        <f t="shared" ref="J75:M75" si="10">J76</f>
        <v>49684351.380000003</v>
      </c>
      <c r="K75" s="43">
        <f t="shared" si="10"/>
        <v>56220624</v>
      </c>
      <c r="L75" s="43">
        <f t="shared" si="10"/>
        <v>55127593</v>
      </c>
      <c r="M75" s="43">
        <f t="shared" si="10"/>
        <v>55127574</v>
      </c>
    </row>
    <row r="76" spans="1:13" s="7" customFormat="1" ht="28.5" x14ac:dyDescent="0.25">
      <c r="A76" s="37" t="s">
        <v>161</v>
      </c>
      <c r="B76" s="1" t="s">
        <v>162</v>
      </c>
      <c r="C76" s="1" t="s">
        <v>163</v>
      </c>
      <c r="D76" s="38">
        <v>559.35500000000002</v>
      </c>
      <c r="E76" s="38">
        <v>541.21900000000005</v>
      </c>
      <c r="F76" s="38" t="s">
        <v>164</v>
      </c>
      <c r="G76" s="38" t="s">
        <v>164</v>
      </c>
      <c r="H76" s="38" t="s">
        <v>165</v>
      </c>
      <c r="I76" s="35">
        <v>43989872.939999998</v>
      </c>
      <c r="J76" s="35">
        <v>49684351.380000003</v>
      </c>
      <c r="K76" s="35">
        <v>56220624</v>
      </c>
      <c r="L76" s="35">
        <v>55127593</v>
      </c>
      <c r="M76" s="35">
        <v>55127574</v>
      </c>
    </row>
    <row r="77" spans="1:13" s="32" customFormat="1" ht="28.5" x14ac:dyDescent="0.25">
      <c r="A77" s="20" t="s">
        <v>15</v>
      </c>
      <c r="B77" s="21"/>
      <c r="C77" s="21"/>
      <c r="D77" s="22"/>
      <c r="E77" s="22"/>
      <c r="F77" s="22"/>
      <c r="G77" s="22"/>
      <c r="H77" s="22"/>
      <c r="I77" s="33">
        <f>I78+I84+I87+I88</f>
        <v>481393649.23000002</v>
      </c>
      <c r="J77" s="33">
        <f t="shared" ref="J77:M77" si="11">J78+J84+J87+J88</f>
        <v>442529901.44</v>
      </c>
      <c r="K77" s="33">
        <f t="shared" si="11"/>
        <v>451847330.97000003</v>
      </c>
      <c r="L77" s="33">
        <f t="shared" si="11"/>
        <v>476783122.47999996</v>
      </c>
      <c r="M77" s="33">
        <f t="shared" si="11"/>
        <v>497541396.56</v>
      </c>
    </row>
    <row r="78" spans="1:13" s="18" customFormat="1" ht="31.5" x14ac:dyDescent="0.25">
      <c r="A78" s="75" t="s">
        <v>228</v>
      </c>
      <c r="B78" s="76" t="s">
        <v>229</v>
      </c>
      <c r="C78" s="76" t="s">
        <v>230</v>
      </c>
      <c r="D78" s="77" t="s">
        <v>231</v>
      </c>
      <c r="E78" s="77" t="s">
        <v>232</v>
      </c>
      <c r="F78" s="77" t="s">
        <v>232</v>
      </c>
      <c r="G78" s="77" t="s">
        <v>232</v>
      </c>
      <c r="H78" s="77" t="s">
        <v>232</v>
      </c>
      <c r="I78" s="78">
        <v>446098265.23000002</v>
      </c>
      <c r="J78" s="78">
        <v>401262707.11000001</v>
      </c>
      <c r="K78" s="78">
        <v>398918649.97000003</v>
      </c>
      <c r="L78" s="78">
        <v>421737294.24000001</v>
      </c>
      <c r="M78" s="78">
        <v>440293735.19</v>
      </c>
    </row>
    <row r="79" spans="1:13" s="18" customFormat="1" ht="51.75" customHeight="1" x14ac:dyDescent="0.25">
      <c r="A79" s="79"/>
      <c r="B79" s="76" t="s">
        <v>233</v>
      </c>
      <c r="C79" s="76" t="s">
        <v>234</v>
      </c>
      <c r="D79" s="77" t="s">
        <v>235</v>
      </c>
      <c r="E79" s="80" t="s">
        <v>236</v>
      </c>
      <c r="F79" s="80" t="s">
        <v>236</v>
      </c>
      <c r="G79" s="80" t="s">
        <v>236</v>
      </c>
      <c r="H79" s="80" t="s">
        <v>236</v>
      </c>
      <c r="I79" s="81"/>
      <c r="J79" s="81"/>
      <c r="K79" s="81"/>
      <c r="L79" s="81"/>
      <c r="M79" s="81"/>
    </row>
    <row r="80" spans="1:13" s="18" customFormat="1" ht="33.75" customHeight="1" x14ac:dyDescent="0.25">
      <c r="A80" s="79"/>
      <c r="B80" s="76" t="s">
        <v>237</v>
      </c>
      <c r="C80" s="76" t="s">
        <v>238</v>
      </c>
      <c r="D80" s="77">
        <v>597</v>
      </c>
      <c r="E80" s="77">
        <v>627</v>
      </c>
      <c r="F80" s="77">
        <v>627</v>
      </c>
      <c r="G80" s="77">
        <v>627</v>
      </c>
      <c r="H80" s="77">
        <v>627</v>
      </c>
      <c r="I80" s="81"/>
      <c r="J80" s="81"/>
      <c r="K80" s="81"/>
      <c r="L80" s="81"/>
      <c r="M80" s="81"/>
    </row>
    <row r="81" spans="1:13" s="18" customFormat="1" ht="24" customHeight="1" x14ac:dyDescent="0.25">
      <c r="A81" s="79"/>
      <c r="B81" s="76" t="s">
        <v>239</v>
      </c>
      <c r="C81" s="76" t="s">
        <v>238</v>
      </c>
      <c r="D81" s="77">
        <v>167</v>
      </c>
      <c r="E81" s="77">
        <v>207</v>
      </c>
      <c r="F81" s="77">
        <v>207</v>
      </c>
      <c r="G81" s="77">
        <v>207</v>
      </c>
      <c r="H81" s="77">
        <v>207</v>
      </c>
      <c r="I81" s="81"/>
      <c r="J81" s="81"/>
      <c r="K81" s="81"/>
      <c r="L81" s="81"/>
      <c r="M81" s="81"/>
    </row>
    <row r="82" spans="1:13" s="18" customFormat="1" ht="26.25" customHeight="1" x14ac:dyDescent="0.25">
      <c r="A82" s="79"/>
      <c r="B82" s="76" t="s">
        <v>240</v>
      </c>
      <c r="C82" s="76" t="s">
        <v>238</v>
      </c>
      <c r="D82" s="77">
        <v>7523</v>
      </c>
      <c r="E82" s="77">
        <v>8545</v>
      </c>
      <c r="F82" s="77">
        <v>8545</v>
      </c>
      <c r="G82" s="77">
        <v>8545</v>
      </c>
      <c r="H82" s="77">
        <v>8545</v>
      </c>
      <c r="I82" s="81"/>
      <c r="J82" s="81"/>
      <c r="K82" s="81"/>
      <c r="L82" s="81"/>
      <c r="M82" s="81"/>
    </row>
    <row r="83" spans="1:13" s="18" customFormat="1" ht="36.75" customHeight="1" x14ac:dyDescent="0.25">
      <c r="A83" s="82"/>
      <c r="B83" s="76" t="s">
        <v>241</v>
      </c>
      <c r="C83" s="76" t="s">
        <v>242</v>
      </c>
      <c r="D83" s="77">
        <v>38000</v>
      </c>
      <c r="E83" s="77">
        <v>38000</v>
      </c>
      <c r="F83" s="77">
        <v>38000</v>
      </c>
      <c r="G83" s="77">
        <v>38000</v>
      </c>
      <c r="H83" s="77">
        <v>38000</v>
      </c>
      <c r="I83" s="83"/>
      <c r="J83" s="83"/>
      <c r="K83" s="83"/>
      <c r="L83" s="83"/>
      <c r="M83" s="83"/>
    </row>
    <row r="84" spans="1:13" s="18" customFormat="1" ht="27" customHeight="1" x14ac:dyDescent="0.25">
      <c r="A84" s="75" t="s">
        <v>243</v>
      </c>
      <c r="B84" s="76" t="s">
        <v>244</v>
      </c>
      <c r="C84" s="76" t="s">
        <v>245</v>
      </c>
      <c r="D84" s="84">
        <v>544.26499999999999</v>
      </c>
      <c r="E84" s="84">
        <v>544.26499999999999</v>
      </c>
      <c r="F84" s="84">
        <v>544.26499999999999</v>
      </c>
      <c r="G84" s="84">
        <v>544.26499999999999</v>
      </c>
      <c r="H84" s="84">
        <v>544.26499999999999</v>
      </c>
      <c r="I84" s="78">
        <v>29055337</v>
      </c>
      <c r="J84" s="78">
        <v>30487450</v>
      </c>
      <c r="K84" s="85">
        <v>34762142</v>
      </c>
      <c r="L84" s="85">
        <v>36152627.68</v>
      </c>
      <c r="M84" s="85">
        <v>37598732.789999999</v>
      </c>
    </row>
    <row r="85" spans="1:13" s="18" customFormat="1" ht="33.75" customHeight="1" x14ac:dyDescent="0.25">
      <c r="A85" s="79"/>
      <c r="B85" s="76" t="s">
        <v>246</v>
      </c>
      <c r="C85" s="76" t="s">
        <v>238</v>
      </c>
      <c r="D85" s="77">
        <v>285</v>
      </c>
      <c r="E85" s="77">
        <v>285</v>
      </c>
      <c r="F85" s="77">
        <v>285</v>
      </c>
      <c r="G85" s="77">
        <v>285</v>
      </c>
      <c r="H85" s="77">
        <v>285</v>
      </c>
      <c r="I85" s="81"/>
      <c r="J85" s="81"/>
      <c r="K85" s="86"/>
      <c r="L85" s="86"/>
      <c r="M85" s="86"/>
    </row>
    <row r="86" spans="1:13" s="18" customFormat="1" ht="25.5" customHeight="1" x14ac:dyDescent="0.25">
      <c r="A86" s="82"/>
      <c r="B86" s="76" t="s">
        <v>247</v>
      </c>
      <c r="C86" s="76" t="s">
        <v>238</v>
      </c>
      <c r="D86" s="77">
        <v>15694</v>
      </c>
      <c r="E86" s="77">
        <v>15694</v>
      </c>
      <c r="F86" s="77">
        <v>15694</v>
      </c>
      <c r="G86" s="77">
        <v>15694</v>
      </c>
      <c r="H86" s="77">
        <v>15694</v>
      </c>
      <c r="I86" s="83"/>
      <c r="J86" s="83"/>
      <c r="K86" s="87"/>
      <c r="L86" s="87"/>
      <c r="M86" s="87"/>
    </row>
    <row r="87" spans="1:13" s="18" customFormat="1" ht="33" customHeight="1" x14ac:dyDescent="0.25">
      <c r="A87" s="76" t="s">
        <v>248</v>
      </c>
      <c r="B87" s="76" t="s">
        <v>249</v>
      </c>
      <c r="C87" s="76" t="s">
        <v>250</v>
      </c>
      <c r="D87" s="88">
        <v>1244.21</v>
      </c>
      <c r="E87" s="89">
        <v>1251.1099999999999</v>
      </c>
      <c r="F87" s="89">
        <v>1251.1099999999999</v>
      </c>
      <c r="G87" s="89">
        <v>1251.1099999999999</v>
      </c>
      <c r="H87" s="89">
        <v>1251.1099999999999</v>
      </c>
      <c r="I87" s="89">
        <v>3295155</v>
      </c>
      <c r="J87" s="89">
        <v>5616669</v>
      </c>
      <c r="K87" s="90">
        <v>6439707</v>
      </c>
      <c r="L87" s="90">
        <v>6697295.2800000003</v>
      </c>
      <c r="M87" s="90">
        <v>6965187.0899999999</v>
      </c>
    </row>
    <row r="88" spans="1:13" s="18" customFormat="1" ht="27.75" customHeight="1" x14ac:dyDescent="0.25">
      <c r="A88" s="76" t="s">
        <v>251</v>
      </c>
      <c r="B88" s="76" t="s">
        <v>249</v>
      </c>
      <c r="C88" s="76" t="s">
        <v>250</v>
      </c>
      <c r="D88" s="89">
        <v>722116.05</v>
      </c>
      <c r="E88" s="77">
        <v>730653</v>
      </c>
      <c r="F88" s="77">
        <v>730653</v>
      </c>
      <c r="G88" s="77">
        <v>730653</v>
      </c>
      <c r="H88" s="77">
        <v>730653</v>
      </c>
      <c r="I88" s="89">
        <v>2944892</v>
      </c>
      <c r="J88" s="89">
        <v>5163075.33</v>
      </c>
      <c r="K88" s="90">
        <v>11726832</v>
      </c>
      <c r="L88" s="90">
        <v>12195905.279999999</v>
      </c>
      <c r="M88" s="90">
        <v>12683741.49</v>
      </c>
    </row>
    <row r="89" spans="1:13" ht="28.5" x14ac:dyDescent="0.25">
      <c r="A89" s="20" t="s">
        <v>16</v>
      </c>
      <c r="B89" s="21"/>
      <c r="C89" s="21"/>
      <c r="D89" s="22"/>
      <c r="E89" s="22"/>
      <c r="F89" s="22"/>
      <c r="G89" s="22"/>
      <c r="H89" s="22"/>
      <c r="I89" s="33">
        <f>SUM(I90:I91)</f>
        <v>2758057.54</v>
      </c>
      <c r="J89" s="33">
        <f t="shared" ref="J89:M89" si="12">SUM(J90:J91)</f>
        <v>2851626.17</v>
      </c>
      <c r="K89" s="33">
        <f t="shared" si="12"/>
        <v>3282201.2699999996</v>
      </c>
      <c r="L89" s="33">
        <f t="shared" si="12"/>
        <v>3308440.05</v>
      </c>
      <c r="M89" s="33">
        <f t="shared" si="12"/>
        <v>3308349.05</v>
      </c>
    </row>
    <row r="90" spans="1:13" ht="57" x14ac:dyDescent="0.25">
      <c r="A90" s="1" t="s">
        <v>133</v>
      </c>
      <c r="B90" s="1" t="s">
        <v>23</v>
      </c>
      <c r="C90" s="3" t="s">
        <v>17</v>
      </c>
      <c r="D90" s="4">
        <v>150</v>
      </c>
      <c r="E90" s="4">
        <v>150</v>
      </c>
      <c r="F90" s="4">
        <v>150</v>
      </c>
      <c r="G90" s="4">
        <v>150</v>
      </c>
      <c r="H90" s="4">
        <v>150</v>
      </c>
      <c r="I90" s="8">
        <v>2371609.14</v>
      </c>
      <c r="J90" s="8">
        <v>2584042.7999999998</v>
      </c>
      <c r="K90" s="9">
        <v>2609535.0299999998</v>
      </c>
      <c r="L90" s="9">
        <v>2608402.67</v>
      </c>
      <c r="M90" s="9">
        <v>2608311.67</v>
      </c>
    </row>
    <row r="91" spans="1:13" ht="42.75" x14ac:dyDescent="0.25">
      <c r="A91" s="1" t="s">
        <v>134</v>
      </c>
      <c r="B91" s="1" t="s">
        <v>23</v>
      </c>
      <c r="C91" s="3" t="s">
        <v>17</v>
      </c>
      <c r="D91" s="4">
        <v>150</v>
      </c>
      <c r="E91" s="4">
        <v>150</v>
      </c>
      <c r="F91" s="4">
        <v>150</v>
      </c>
      <c r="G91" s="4">
        <v>150</v>
      </c>
      <c r="H91" s="4">
        <v>150</v>
      </c>
      <c r="I91" s="8">
        <v>386448.4</v>
      </c>
      <c r="J91" s="8">
        <v>267583.37</v>
      </c>
      <c r="K91" s="9">
        <v>672666.24</v>
      </c>
      <c r="L91" s="9">
        <v>700037.38</v>
      </c>
      <c r="M91" s="9">
        <v>700037.38</v>
      </c>
    </row>
    <row r="92" spans="1:13" s="32" customFormat="1" ht="28.5" x14ac:dyDescent="0.25">
      <c r="A92" s="20" t="s">
        <v>18</v>
      </c>
      <c r="B92" s="21"/>
      <c r="C92" s="21"/>
      <c r="D92" s="22"/>
      <c r="E92" s="22"/>
      <c r="F92" s="22"/>
      <c r="G92" s="22"/>
      <c r="H92" s="22"/>
      <c r="I92" s="31">
        <f>I93+I147+I194+I198+I199</f>
        <v>249841943.09999999</v>
      </c>
      <c r="J92" s="31">
        <f>J93+J147+J194+J198+J199+J200</f>
        <v>289579985.05000001</v>
      </c>
      <c r="K92" s="31">
        <f t="shared" ref="K92:M92" si="13">K93+K147+K194+K198+K199</f>
        <v>336006455.54999989</v>
      </c>
      <c r="L92" s="31">
        <f t="shared" si="13"/>
        <v>279732036.30399996</v>
      </c>
      <c r="M92" s="31">
        <f t="shared" si="13"/>
        <v>284730188.29599994</v>
      </c>
    </row>
    <row r="93" spans="1:13" ht="28.5" x14ac:dyDescent="0.25">
      <c r="A93" s="24" t="s">
        <v>30</v>
      </c>
      <c r="B93" s="19"/>
      <c r="C93" s="19"/>
      <c r="D93" s="23"/>
      <c r="E93" s="23"/>
      <c r="F93" s="23"/>
      <c r="G93" s="23"/>
      <c r="H93" s="23"/>
      <c r="I93" s="25">
        <f>SUM(I94:I146)</f>
        <v>144481334.22999999</v>
      </c>
      <c r="J93" s="25">
        <f t="shared" ref="J93:M93" si="14">SUM(J94:J146)</f>
        <v>155410086.72999999</v>
      </c>
      <c r="K93" s="25">
        <f t="shared" si="14"/>
        <v>169035381.58999994</v>
      </c>
      <c r="L93" s="25">
        <f t="shared" si="14"/>
        <v>151070594.41999999</v>
      </c>
      <c r="M93" s="25">
        <f t="shared" si="14"/>
        <v>149892907.116</v>
      </c>
    </row>
    <row r="94" spans="1:13" ht="28.5" x14ac:dyDescent="0.25">
      <c r="A94" s="1" t="s">
        <v>31</v>
      </c>
      <c r="B94" s="1" t="s">
        <v>32</v>
      </c>
      <c r="C94" s="1" t="s">
        <v>19</v>
      </c>
      <c r="D94" s="4">
        <f>44+15+28</f>
        <v>87</v>
      </c>
      <c r="E94" s="4">
        <f>77+15+42</f>
        <v>134</v>
      </c>
      <c r="F94" s="4">
        <f>80+15+56</f>
        <v>151</v>
      </c>
      <c r="G94" s="4">
        <f>78+15+56</f>
        <v>149</v>
      </c>
      <c r="H94" s="4">
        <f>88+15+56</f>
        <v>159</v>
      </c>
      <c r="I94" s="26">
        <f>1266586.64+281405.1+330317.4</f>
        <v>1878309.1399999997</v>
      </c>
      <c r="J94" s="26">
        <f>2224605.46+320129.55+608047.02</f>
        <v>3152782.03</v>
      </c>
      <c r="K94" s="27">
        <v>2783435.8</v>
      </c>
      <c r="L94" s="27">
        <v>2201707.27</v>
      </c>
      <c r="M94" s="27">
        <v>1817985.47</v>
      </c>
    </row>
    <row r="95" spans="1:13" ht="28.5" x14ac:dyDescent="0.25">
      <c r="A95" s="1" t="s">
        <v>33</v>
      </c>
      <c r="B95" s="1" t="s">
        <v>32</v>
      </c>
      <c r="C95" s="1" t="s">
        <v>19</v>
      </c>
      <c r="D95" s="4">
        <f>27+15+36</f>
        <v>78</v>
      </c>
      <c r="E95" s="4">
        <f>12+15+36</f>
        <v>63</v>
      </c>
      <c r="F95" s="4">
        <f>18+15+42</f>
        <v>75</v>
      </c>
      <c r="G95" s="4">
        <f>21+15+42</f>
        <v>78</v>
      </c>
      <c r="H95" s="4">
        <f>16+15+42</f>
        <v>73</v>
      </c>
      <c r="I95" s="26">
        <f>1060890.21+334244.1+879022.8</f>
        <v>2274157.1100000003</v>
      </c>
      <c r="J95" s="26">
        <f>594625.68+373247.4+614046.96</f>
        <v>1581920.04</v>
      </c>
      <c r="K95" s="27">
        <v>1653068.98</v>
      </c>
      <c r="L95" s="27">
        <v>1543270.04</v>
      </c>
      <c r="M95" s="27">
        <v>1277690.57</v>
      </c>
    </row>
    <row r="96" spans="1:13" ht="28.5" x14ac:dyDescent="0.25">
      <c r="A96" s="1" t="s">
        <v>34</v>
      </c>
      <c r="B96" s="1" t="s">
        <v>32</v>
      </c>
      <c r="C96" s="1" t="s">
        <v>19</v>
      </c>
      <c r="D96" s="4">
        <f>10+6</f>
        <v>16</v>
      </c>
      <c r="E96" s="4">
        <v>6</v>
      </c>
      <c r="F96" s="4">
        <v>6</v>
      </c>
      <c r="G96" s="4">
        <f>10+6</f>
        <v>16</v>
      </c>
      <c r="H96" s="4">
        <f>10+6</f>
        <v>16</v>
      </c>
      <c r="I96" s="26">
        <f>835763.9+433701.6</f>
        <v>1269465.5</v>
      </c>
      <c r="J96" s="26">
        <v>224548.38</v>
      </c>
      <c r="K96" s="27">
        <v>224548.38</v>
      </c>
      <c r="L96" s="27">
        <v>525657.71</v>
      </c>
      <c r="M96" s="27">
        <v>534219.13</v>
      </c>
    </row>
    <row r="97" spans="1:13" ht="28.5" x14ac:dyDescent="0.25">
      <c r="A97" s="1" t="s">
        <v>35</v>
      </c>
      <c r="B97" s="1" t="s">
        <v>32</v>
      </c>
      <c r="C97" s="1" t="s">
        <v>19</v>
      </c>
      <c r="D97" s="4">
        <v>109</v>
      </c>
      <c r="E97" s="4">
        <v>101</v>
      </c>
      <c r="F97" s="4">
        <v>95</v>
      </c>
      <c r="G97" s="4">
        <v>98</v>
      </c>
      <c r="H97" s="4">
        <v>94</v>
      </c>
      <c r="I97" s="26">
        <v>2716420.61</v>
      </c>
      <c r="J97" s="26">
        <v>2912668.3</v>
      </c>
      <c r="K97" s="27">
        <v>2446421.15</v>
      </c>
      <c r="L97" s="27">
        <v>2346274.2599999998</v>
      </c>
      <c r="M97" s="27">
        <v>2306885.62</v>
      </c>
    </row>
    <row r="98" spans="1:13" ht="28.5" x14ac:dyDescent="0.25">
      <c r="A98" s="1" t="s">
        <v>36</v>
      </c>
      <c r="B98" s="1" t="s">
        <v>32</v>
      </c>
      <c r="C98" s="1" t="s">
        <v>19</v>
      </c>
      <c r="D98" s="4">
        <v>10</v>
      </c>
      <c r="E98" s="4">
        <v>10</v>
      </c>
      <c r="F98" s="4">
        <v>20</v>
      </c>
      <c r="G98" s="4">
        <v>20</v>
      </c>
      <c r="H98" s="4">
        <v>22</v>
      </c>
      <c r="I98" s="26">
        <v>436152</v>
      </c>
      <c r="J98" s="26">
        <v>450607.8</v>
      </c>
      <c r="K98" s="27">
        <v>534461.32999999996</v>
      </c>
      <c r="L98" s="27">
        <v>974754.79</v>
      </c>
      <c r="M98" s="27">
        <v>1115119.48</v>
      </c>
    </row>
    <row r="99" spans="1:13" ht="28.5" x14ac:dyDescent="0.25">
      <c r="A99" s="1" t="s">
        <v>37</v>
      </c>
      <c r="B99" s="1" t="s">
        <v>32</v>
      </c>
      <c r="C99" s="1" t="s">
        <v>19</v>
      </c>
      <c r="D99" s="4">
        <v>65</v>
      </c>
      <c r="E99" s="4">
        <v>92</v>
      </c>
      <c r="F99" s="4">
        <v>85</v>
      </c>
      <c r="G99" s="4">
        <v>94</v>
      </c>
      <c r="H99" s="4">
        <v>92</v>
      </c>
      <c r="I99" s="26">
        <v>1736121.4</v>
      </c>
      <c r="J99" s="26">
        <v>2738393.8</v>
      </c>
      <c r="K99" s="27">
        <v>1825533.48</v>
      </c>
      <c r="L99" s="27">
        <v>1605248.19</v>
      </c>
      <c r="M99" s="27">
        <v>1595528.73</v>
      </c>
    </row>
    <row r="100" spans="1:13" ht="28.5" x14ac:dyDescent="0.25">
      <c r="A100" s="1" t="s">
        <v>38</v>
      </c>
      <c r="B100" s="1" t="s">
        <v>32</v>
      </c>
      <c r="C100" s="1" t="s">
        <v>19</v>
      </c>
      <c r="D100" s="4">
        <v>27</v>
      </c>
      <c r="E100" s="4">
        <v>21</v>
      </c>
      <c r="F100" s="4">
        <v>23</v>
      </c>
      <c r="G100" s="4">
        <v>18</v>
      </c>
      <c r="H100" s="4">
        <v>18</v>
      </c>
      <c r="I100" s="26">
        <v>1009454.4</v>
      </c>
      <c r="J100" s="26">
        <v>876570.03</v>
      </c>
      <c r="K100" s="27">
        <v>998455.01</v>
      </c>
      <c r="L100" s="27">
        <v>812655.56</v>
      </c>
      <c r="M100" s="27">
        <v>845161.78</v>
      </c>
    </row>
    <row r="101" spans="1:13" ht="28.5" x14ac:dyDescent="0.25">
      <c r="A101" s="1" t="s">
        <v>39</v>
      </c>
      <c r="B101" s="1" t="s">
        <v>32</v>
      </c>
      <c r="C101" s="1" t="s">
        <v>19</v>
      </c>
      <c r="D101" s="4">
        <f>32+45+15+58+23</f>
        <v>173</v>
      </c>
      <c r="E101" s="4">
        <f>27+28+12+45+23</f>
        <v>135</v>
      </c>
      <c r="F101" s="4">
        <f>29+11+12+46+23+32</f>
        <v>153</v>
      </c>
      <c r="G101" s="4">
        <f>29+11+12+46+32</f>
        <v>130</v>
      </c>
      <c r="H101" s="4">
        <f>26+11+12+46+23+32</f>
        <v>150</v>
      </c>
      <c r="I101" s="26">
        <f>1092626.24+1240427.7+259787.85+1371064.32+419309.55</f>
        <v>4383215.66</v>
      </c>
      <c r="J101" s="26">
        <f>868573.8+952092.4+258760.44+1572319.35+362931.26</f>
        <v>4014677.25</v>
      </c>
      <c r="K101" s="27">
        <v>4662096.3499999996</v>
      </c>
      <c r="L101" s="27">
        <v>3712050.32</v>
      </c>
      <c r="M101" s="27">
        <v>3610549.58</v>
      </c>
    </row>
    <row r="102" spans="1:13" ht="28.5" x14ac:dyDescent="0.25">
      <c r="A102" s="3" t="s">
        <v>40</v>
      </c>
      <c r="B102" s="1" t="s">
        <v>32</v>
      </c>
      <c r="C102" s="1" t="s">
        <v>19</v>
      </c>
      <c r="D102" s="4">
        <f>18+17+10+25+6</f>
        <v>76</v>
      </c>
      <c r="E102" s="4">
        <f>25+37+10+32+8</f>
        <v>112</v>
      </c>
      <c r="F102" s="4">
        <f>25+54+10+45+8+6</f>
        <v>148</v>
      </c>
      <c r="G102" s="4">
        <f>25+54+10+45+23+8+6</f>
        <v>171</v>
      </c>
      <c r="H102" s="4">
        <f>26+54+10+45+8+6</f>
        <v>149</v>
      </c>
      <c r="I102" s="26">
        <f>827066.89+536337.25+377718.4+1187466.25+198085.08</f>
        <v>3126673.87</v>
      </c>
      <c r="J102" s="26">
        <f>983695+1350256.54+276931.2+1963807.68+461370.16</f>
        <v>5036060.58</v>
      </c>
      <c r="K102" s="27">
        <v>7660305.04</v>
      </c>
      <c r="L102" s="27">
        <v>7096047.1299999999</v>
      </c>
      <c r="M102" s="27">
        <v>7129670.6299999999</v>
      </c>
    </row>
    <row r="103" spans="1:13" ht="28.5" x14ac:dyDescent="0.25">
      <c r="A103" s="3" t="s">
        <v>41</v>
      </c>
      <c r="B103" s="1" t="s">
        <v>32</v>
      </c>
      <c r="C103" s="1" t="s">
        <v>19</v>
      </c>
      <c r="D103" s="4">
        <f>15+8+13+12</f>
        <v>48</v>
      </c>
      <c r="E103" s="4">
        <f>9+7+9+8</f>
        <v>33</v>
      </c>
      <c r="F103" s="4">
        <f>8+7+9+8+5</f>
        <v>37</v>
      </c>
      <c r="G103" s="4">
        <f>8+7+9+8+5</f>
        <v>37</v>
      </c>
      <c r="H103" s="4">
        <f>8+7+9+8+5</f>
        <v>37</v>
      </c>
      <c r="I103" s="26">
        <f>679918.65+575315.52+1373121.36+512886.96</f>
        <v>3141242.49</v>
      </c>
      <c r="J103" s="26">
        <f>440496.27+520822.05+918914.67+1044102.32</f>
        <v>2924335.31</v>
      </c>
      <c r="K103" s="27">
        <v>2896100.88</v>
      </c>
      <c r="L103" s="27">
        <v>2598611.71</v>
      </c>
      <c r="M103" s="27">
        <v>2577318.31</v>
      </c>
    </row>
    <row r="104" spans="1:13" ht="28.5" x14ac:dyDescent="0.25">
      <c r="A104" s="3" t="s">
        <v>42</v>
      </c>
      <c r="B104" s="1" t="s">
        <v>32</v>
      </c>
      <c r="C104" s="1" t="s">
        <v>19</v>
      </c>
      <c r="D104" s="4">
        <f>5+10</f>
        <v>15</v>
      </c>
      <c r="E104" s="4">
        <f>8+8</f>
        <v>16</v>
      </c>
      <c r="F104" s="4">
        <f>8+8</f>
        <v>16</v>
      </c>
      <c r="G104" s="4">
        <f>8+8</f>
        <v>16</v>
      </c>
      <c r="H104" s="4">
        <f>8+8</f>
        <v>16</v>
      </c>
      <c r="I104" s="26">
        <f>1242470.3+641386.5</f>
        <v>1883856.8</v>
      </c>
      <c r="J104" s="26">
        <f>2030468+1167942.72</f>
        <v>3198410.7199999997</v>
      </c>
      <c r="K104" s="27">
        <f>1468837.36+255031.36</f>
        <v>1723868.7200000002</v>
      </c>
      <c r="L104" s="27">
        <f>1468837.36+265232.56</f>
        <v>1734069.9200000002</v>
      </c>
      <c r="M104" s="27">
        <f>1468837.36+275841.84</f>
        <v>1744679.2000000002</v>
      </c>
    </row>
    <row r="105" spans="1:13" ht="28.5" x14ac:dyDescent="0.25">
      <c r="A105" s="3" t="s">
        <v>43</v>
      </c>
      <c r="B105" s="1" t="s">
        <v>32</v>
      </c>
      <c r="C105" s="1" t="s">
        <v>19</v>
      </c>
      <c r="D105" s="4">
        <v>116</v>
      </c>
      <c r="E105" s="4">
        <v>102</v>
      </c>
      <c r="F105" s="4">
        <v>101</v>
      </c>
      <c r="G105" s="4">
        <v>101</v>
      </c>
      <c r="H105" s="4">
        <v>101</v>
      </c>
      <c r="I105" s="26">
        <v>3251866.28</v>
      </c>
      <c r="J105" s="26">
        <v>3323908.68</v>
      </c>
      <c r="K105" s="27">
        <v>3789731.71</v>
      </c>
      <c r="L105" s="27">
        <v>3482041.34</v>
      </c>
      <c r="M105" s="27">
        <v>3450138.66</v>
      </c>
    </row>
    <row r="106" spans="1:13" ht="28.5" x14ac:dyDescent="0.25">
      <c r="A106" s="3" t="s">
        <v>44</v>
      </c>
      <c r="B106" s="1" t="s">
        <v>32</v>
      </c>
      <c r="C106" s="1" t="s">
        <v>19</v>
      </c>
      <c r="D106" s="4">
        <v>59</v>
      </c>
      <c r="E106" s="4">
        <v>64</v>
      </c>
      <c r="F106" s="4">
        <v>64</v>
      </c>
      <c r="G106" s="4">
        <v>64</v>
      </c>
      <c r="H106" s="4">
        <v>64</v>
      </c>
      <c r="I106" s="26">
        <v>1916189.02</v>
      </c>
      <c r="J106" s="26">
        <v>2385381.12</v>
      </c>
      <c r="K106" s="27">
        <v>2521368.0099999998</v>
      </c>
      <c r="L106" s="27">
        <v>2213677.64</v>
      </c>
      <c r="M106" s="27">
        <v>2181774.96</v>
      </c>
    </row>
    <row r="107" spans="1:13" ht="28.5" x14ac:dyDescent="0.25">
      <c r="A107" s="3" t="s">
        <v>45</v>
      </c>
      <c r="B107" s="1" t="s">
        <v>32</v>
      </c>
      <c r="C107" s="1" t="s">
        <v>19</v>
      </c>
      <c r="D107" s="4">
        <v>11</v>
      </c>
      <c r="E107" s="4">
        <v>13</v>
      </c>
      <c r="F107" s="4">
        <v>14</v>
      </c>
      <c r="G107" s="4">
        <v>14</v>
      </c>
      <c r="H107" s="4">
        <v>14</v>
      </c>
      <c r="I107" s="26">
        <v>483998.35</v>
      </c>
      <c r="J107" s="26">
        <v>636272.26</v>
      </c>
      <c r="K107" s="27">
        <v>812212.5</v>
      </c>
      <c r="L107" s="27">
        <v>812212.5</v>
      </c>
      <c r="M107" s="27">
        <v>812212.5</v>
      </c>
    </row>
    <row r="108" spans="1:13" ht="28.5" x14ac:dyDescent="0.25">
      <c r="A108" s="3" t="s">
        <v>46</v>
      </c>
      <c r="B108" s="1" t="s">
        <v>32</v>
      </c>
      <c r="C108" s="1" t="s">
        <v>19</v>
      </c>
      <c r="D108" s="4">
        <v>2</v>
      </c>
      <c r="E108" s="4">
        <v>2</v>
      </c>
      <c r="F108" s="4">
        <v>1</v>
      </c>
      <c r="G108" s="4">
        <v>1</v>
      </c>
      <c r="H108" s="4">
        <v>1</v>
      </c>
      <c r="I108" s="26">
        <v>112900.92</v>
      </c>
      <c r="J108" s="26">
        <v>122789.26</v>
      </c>
      <c r="K108" s="27">
        <v>71161.86</v>
      </c>
      <c r="L108" s="27">
        <v>71161.86</v>
      </c>
      <c r="M108" s="27">
        <v>71161.86</v>
      </c>
    </row>
    <row r="109" spans="1:13" ht="28.5" x14ac:dyDescent="0.25">
      <c r="A109" s="3" t="s">
        <v>47</v>
      </c>
      <c r="B109" s="1" t="s">
        <v>32</v>
      </c>
      <c r="C109" s="1" t="s">
        <v>19</v>
      </c>
      <c r="D109" s="4">
        <f>30+80+91+75</f>
        <v>276</v>
      </c>
      <c r="E109" s="4">
        <f>30+97+45+30</f>
        <v>202</v>
      </c>
      <c r="F109" s="4">
        <f>64+45+14</f>
        <v>123</v>
      </c>
      <c r="G109" s="4">
        <f>64+45</f>
        <v>109</v>
      </c>
      <c r="H109" s="4">
        <f>64+45+14</f>
        <v>123</v>
      </c>
      <c r="I109" s="26">
        <f>589719.9+1412967.2+943520.7+2625466.91</f>
        <v>5571674.71</v>
      </c>
      <c r="J109" s="26">
        <f>585103.2+1426546.99+439876.35+1285878.36</f>
        <v>3737404.9000000004</v>
      </c>
      <c r="K109" s="27">
        <f>2040250.88+555127.04+658326.51</f>
        <v>3253704.4299999997</v>
      </c>
      <c r="L109" s="27">
        <v>1966494.26</v>
      </c>
      <c r="M109" s="27">
        <v>1935547.73</v>
      </c>
    </row>
    <row r="110" spans="1:13" ht="28.5" x14ac:dyDescent="0.25">
      <c r="A110" s="3" t="s">
        <v>48</v>
      </c>
      <c r="B110" s="1" t="s">
        <v>32</v>
      </c>
      <c r="C110" s="1" t="s">
        <v>19</v>
      </c>
      <c r="D110" s="4">
        <f>36+52+60+14</f>
        <v>162</v>
      </c>
      <c r="E110" s="4">
        <f>36+38+60+30</f>
        <v>164</v>
      </c>
      <c r="F110" s="4">
        <f>54+62+60+42</f>
        <v>218</v>
      </c>
      <c r="G110" s="4">
        <f>54+62+60+56</f>
        <v>232</v>
      </c>
      <c r="H110" s="4">
        <f>54+62+60+42</f>
        <v>218</v>
      </c>
      <c r="I110" s="26">
        <f>1057488.84+1424814.04+1276530+574640.46</f>
        <v>4333473.34</v>
      </c>
      <c r="J110" s="26">
        <f>1167107.4+948412.74+2013901.2+1292103.3</f>
        <v>5421524.6399999997</v>
      </c>
      <c r="K110" s="27">
        <v>4904283.78</v>
      </c>
      <c r="L110" s="27">
        <v>4404359.54</v>
      </c>
      <c r="M110" s="27">
        <v>4340972.62</v>
      </c>
    </row>
    <row r="111" spans="1:13" ht="28.5" x14ac:dyDescent="0.25">
      <c r="A111" s="3" t="s">
        <v>49</v>
      </c>
      <c r="B111" s="1" t="s">
        <v>32</v>
      </c>
      <c r="C111" s="1" t="s">
        <v>19</v>
      </c>
      <c r="D111" s="4">
        <v>16</v>
      </c>
      <c r="E111" s="4">
        <v>16</v>
      </c>
      <c r="F111" s="4">
        <v>16</v>
      </c>
      <c r="G111" s="4">
        <v>16</v>
      </c>
      <c r="H111" s="4">
        <v>16</v>
      </c>
      <c r="I111" s="26">
        <v>555013.28</v>
      </c>
      <c r="J111" s="26">
        <v>1251092</v>
      </c>
      <c r="K111" s="27">
        <v>1145797.9099999999</v>
      </c>
      <c r="L111" s="27">
        <v>838107.54</v>
      </c>
      <c r="M111" s="27">
        <v>806204.78599999996</v>
      </c>
    </row>
    <row r="112" spans="1:13" ht="28.5" x14ac:dyDescent="0.25">
      <c r="A112" s="3" t="s">
        <v>50</v>
      </c>
      <c r="B112" s="1" t="s">
        <v>32</v>
      </c>
      <c r="C112" s="1" t="s">
        <v>19</v>
      </c>
      <c r="D112" s="4">
        <v>126</v>
      </c>
      <c r="E112" s="4">
        <v>116</v>
      </c>
      <c r="F112" s="4">
        <v>107</v>
      </c>
      <c r="G112" s="4">
        <v>107</v>
      </c>
      <c r="H112" s="4">
        <v>107</v>
      </c>
      <c r="I112" s="26">
        <v>2551818.7799999998</v>
      </c>
      <c r="J112" s="26">
        <v>2363008.16</v>
      </c>
      <c r="K112" s="27">
        <v>3695647.49</v>
      </c>
      <c r="L112" s="27">
        <v>3159326.04</v>
      </c>
      <c r="M112" s="27">
        <v>3177742.61</v>
      </c>
    </row>
    <row r="113" spans="1:13" ht="28.5" x14ac:dyDescent="0.25">
      <c r="A113" s="3" t="s">
        <v>51</v>
      </c>
      <c r="B113" s="1" t="s">
        <v>32</v>
      </c>
      <c r="C113" s="1" t="s">
        <v>19</v>
      </c>
      <c r="D113" s="4">
        <v>71</v>
      </c>
      <c r="E113" s="4">
        <v>88</v>
      </c>
      <c r="F113" s="4">
        <v>100</v>
      </c>
      <c r="G113" s="4">
        <v>100</v>
      </c>
      <c r="H113" s="4">
        <v>100</v>
      </c>
      <c r="I113" s="26">
        <v>2147570.37</v>
      </c>
      <c r="J113" s="26">
        <v>2485543.2799999998</v>
      </c>
      <c r="K113" s="27">
        <v>4195527.22</v>
      </c>
      <c r="L113" s="27">
        <v>2869653.21</v>
      </c>
      <c r="M113" s="27">
        <v>2773945.18</v>
      </c>
    </row>
    <row r="114" spans="1:13" ht="28.5" x14ac:dyDescent="0.25">
      <c r="A114" s="3" t="s">
        <v>52</v>
      </c>
      <c r="B114" s="1" t="s">
        <v>32</v>
      </c>
      <c r="C114" s="1" t="s">
        <v>19</v>
      </c>
      <c r="D114" s="4">
        <v>0</v>
      </c>
      <c r="E114" s="4">
        <v>5</v>
      </c>
      <c r="F114" s="4">
        <v>5</v>
      </c>
      <c r="G114" s="4">
        <v>5</v>
      </c>
      <c r="H114" s="4">
        <v>5</v>
      </c>
      <c r="I114" s="26">
        <v>0</v>
      </c>
      <c r="J114" s="26">
        <v>344695</v>
      </c>
      <c r="K114" s="27">
        <v>524424.95999999996</v>
      </c>
      <c r="L114" s="27">
        <v>927227.85</v>
      </c>
      <c r="M114" s="27">
        <v>927227.85</v>
      </c>
    </row>
    <row r="115" spans="1:13" ht="28.5" x14ac:dyDescent="0.25">
      <c r="A115" s="3" t="s">
        <v>53</v>
      </c>
      <c r="B115" s="1" t="s">
        <v>32</v>
      </c>
      <c r="C115" s="1" t="s">
        <v>19</v>
      </c>
      <c r="D115" s="4">
        <v>39</v>
      </c>
      <c r="E115" s="4">
        <v>25</v>
      </c>
      <c r="F115" s="4">
        <v>25</v>
      </c>
      <c r="G115" s="4">
        <v>25</v>
      </c>
      <c r="H115" s="4">
        <v>25</v>
      </c>
      <c r="I115" s="26">
        <v>686320.44</v>
      </c>
      <c r="J115" s="26">
        <v>526158.75</v>
      </c>
      <c r="K115" s="27">
        <v>623470.25</v>
      </c>
      <c r="L115" s="27">
        <v>623470.25</v>
      </c>
      <c r="M115" s="27">
        <v>623470.25</v>
      </c>
    </row>
    <row r="116" spans="1:13" ht="28.5" x14ac:dyDescent="0.25">
      <c r="A116" s="3" t="s">
        <v>54</v>
      </c>
      <c r="B116" s="1" t="s">
        <v>32</v>
      </c>
      <c r="C116" s="1" t="s">
        <v>19</v>
      </c>
      <c r="D116" s="4">
        <v>48</v>
      </c>
      <c r="E116" s="4">
        <v>57</v>
      </c>
      <c r="F116" s="4">
        <v>55</v>
      </c>
      <c r="G116" s="4">
        <v>55</v>
      </c>
      <c r="H116" s="4">
        <v>55</v>
      </c>
      <c r="I116" s="26">
        <v>1255337.28</v>
      </c>
      <c r="J116" s="26">
        <v>1682751.15</v>
      </c>
      <c r="K116" s="27">
        <v>2132951.7599999998</v>
      </c>
      <c r="L116" s="27">
        <v>1114768.1200000001</v>
      </c>
      <c r="M116" s="27">
        <v>1050962.77</v>
      </c>
    </row>
    <row r="117" spans="1:13" ht="28.5" x14ac:dyDescent="0.25">
      <c r="A117" s="3" t="s">
        <v>55</v>
      </c>
      <c r="B117" s="1" t="s">
        <v>32</v>
      </c>
      <c r="C117" s="1" t="s">
        <v>19</v>
      </c>
      <c r="D117" s="4">
        <v>42</v>
      </c>
      <c r="E117" s="4">
        <v>14</v>
      </c>
      <c r="F117" s="4">
        <v>14</v>
      </c>
      <c r="G117" s="4">
        <v>14</v>
      </c>
      <c r="H117" s="4">
        <v>14</v>
      </c>
      <c r="I117" s="26">
        <v>755258.28</v>
      </c>
      <c r="J117" s="26">
        <v>306845.56</v>
      </c>
      <c r="K117" s="27">
        <v>349629.42</v>
      </c>
      <c r="L117" s="27">
        <v>349629.42</v>
      </c>
      <c r="M117" s="27">
        <v>349629.42</v>
      </c>
    </row>
    <row r="118" spans="1:13" ht="28.5" x14ac:dyDescent="0.25">
      <c r="A118" s="3" t="s">
        <v>56</v>
      </c>
      <c r="B118" s="1" t="s">
        <v>32</v>
      </c>
      <c r="C118" s="1" t="s">
        <v>19</v>
      </c>
      <c r="D118" s="4">
        <v>34</v>
      </c>
      <c r="E118" s="4">
        <v>48</v>
      </c>
      <c r="F118" s="4">
        <v>48</v>
      </c>
      <c r="G118" s="4">
        <v>48</v>
      </c>
      <c r="H118" s="4">
        <v>48</v>
      </c>
      <c r="I118" s="26">
        <v>842276.22</v>
      </c>
      <c r="J118" s="26">
        <v>1295949.1200000001</v>
      </c>
      <c r="K118" s="27">
        <v>1738940.64</v>
      </c>
      <c r="L118" s="27">
        <v>1028447.37</v>
      </c>
      <c r="M118" s="27">
        <v>996544.7</v>
      </c>
    </row>
    <row r="119" spans="1:13" ht="28.5" x14ac:dyDescent="0.25">
      <c r="A119" s="3" t="s">
        <v>57</v>
      </c>
      <c r="B119" s="1" t="s">
        <v>32</v>
      </c>
      <c r="C119" s="1" t="s">
        <v>19</v>
      </c>
      <c r="D119" s="4">
        <v>36</v>
      </c>
      <c r="E119" s="4">
        <v>24</v>
      </c>
      <c r="F119" s="4">
        <v>0</v>
      </c>
      <c r="G119" s="4">
        <v>0</v>
      </c>
      <c r="H119" s="4">
        <v>0</v>
      </c>
      <c r="I119" s="26">
        <v>704094.84</v>
      </c>
      <c r="J119" s="26">
        <v>484877.52</v>
      </c>
      <c r="K119" s="27">
        <v>0</v>
      </c>
      <c r="L119" s="27">
        <v>0</v>
      </c>
      <c r="M119" s="27">
        <v>0</v>
      </c>
    </row>
    <row r="120" spans="1:13" ht="28.5" x14ac:dyDescent="0.25">
      <c r="A120" s="3" t="s">
        <v>58</v>
      </c>
      <c r="B120" s="1" t="s">
        <v>32</v>
      </c>
      <c r="C120" s="1" t="s">
        <v>19</v>
      </c>
      <c r="D120" s="4">
        <v>16</v>
      </c>
      <c r="E120" s="4">
        <v>20</v>
      </c>
      <c r="F120" s="4">
        <v>42</v>
      </c>
      <c r="G120" s="4">
        <v>42</v>
      </c>
      <c r="H120" s="4">
        <v>42</v>
      </c>
      <c r="I120" s="26">
        <v>526779.36</v>
      </c>
      <c r="J120" s="26">
        <v>560632.19999999995</v>
      </c>
      <c r="K120" s="27">
        <v>1619278.08</v>
      </c>
      <c r="L120" s="27">
        <v>908784.81</v>
      </c>
      <c r="M120" s="27">
        <v>876882.14</v>
      </c>
    </row>
    <row r="121" spans="1:13" ht="28.5" x14ac:dyDescent="0.25">
      <c r="A121" s="3" t="s">
        <v>59</v>
      </c>
      <c r="B121" s="1" t="s">
        <v>32</v>
      </c>
      <c r="C121" s="1" t="s">
        <v>19</v>
      </c>
      <c r="D121" s="4">
        <v>72</v>
      </c>
      <c r="E121" s="4">
        <v>51</v>
      </c>
      <c r="F121" s="4">
        <v>51</v>
      </c>
      <c r="G121" s="4">
        <v>51</v>
      </c>
      <c r="H121" s="4">
        <v>51</v>
      </c>
      <c r="I121" s="26">
        <v>3116212.56</v>
      </c>
      <c r="J121" s="26">
        <v>1988884.23</v>
      </c>
      <c r="K121" s="27">
        <v>1377598.23</v>
      </c>
      <c r="L121" s="27">
        <v>1377598.23</v>
      </c>
      <c r="M121" s="27">
        <v>1377598.23</v>
      </c>
    </row>
    <row r="122" spans="1:13" ht="28.5" x14ac:dyDescent="0.25">
      <c r="A122" s="3" t="s">
        <v>60</v>
      </c>
      <c r="B122" s="1" t="s">
        <v>32</v>
      </c>
      <c r="C122" s="1" t="s">
        <v>19</v>
      </c>
      <c r="D122" s="4">
        <v>60</v>
      </c>
      <c r="E122" s="4">
        <v>81</v>
      </c>
      <c r="F122" s="4">
        <v>81</v>
      </c>
      <c r="G122" s="4">
        <v>81</v>
      </c>
      <c r="H122" s="4">
        <v>81</v>
      </c>
      <c r="I122" s="26">
        <v>4212343.8</v>
      </c>
      <c r="J122" s="26">
        <v>4665416.13</v>
      </c>
      <c r="K122" s="27">
        <v>3694550.13</v>
      </c>
      <c r="L122" s="27">
        <v>3694550.13</v>
      </c>
      <c r="M122" s="27">
        <v>3694550.13</v>
      </c>
    </row>
    <row r="123" spans="1:13" ht="28.5" x14ac:dyDescent="0.25">
      <c r="A123" s="3" t="s">
        <v>61</v>
      </c>
      <c r="B123" s="1" t="s">
        <v>32</v>
      </c>
      <c r="C123" s="1" t="s">
        <v>19</v>
      </c>
      <c r="D123" s="4">
        <v>1</v>
      </c>
      <c r="E123" s="4">
        <v>1</v>
      </c>
      <c r="F123" s="4">
        <v>1</v>
      </c>
      <c r="G123" s="4">
        <v>1</v>
      </c>
      <c r="H123" s="4">
        <v>1</v>
      </c>
      <c r="I123" s="26">
        <v>89982.38</v>
      </c>
      <c r="J123" s="26">
        <v>81749.759999999995</v>
      </c>
      <c r="K123" s="27">
        <v>75597.86</v>
      </c>
      <c r="L123" s="27">
        <v>75597.86</v>
      </c>
      <c r="M123" s="27">
        <v>75597.86</v>
      </c>
    </row>
    <row r="124" spans="1:13" ht="28.5" x14ac:dyDescent="0.25">
      <c r="A124" s="3" t="s">
        <v>62</v>
      </c>
      <c r="B124" s="1" t="s">
        <v>32</v>
      </c>
      <c r="C124" s="1" t="s">
        <v>19</v>
      </c>
      <c r="D124" s="4">
        <f>134+196</f>
        <v>330</v>
      </c>
      <c r="E124" s="4">
        <f>106+187</f>
        <v>293</v>
      </c>
      <c r="F124" s="4">
        <f>94+115</f>
        <v>209</v>
      </c>
      <c r="G124" s="4">
        <f>94+115</f>
        <v>209</v>
      </c>
      <c r="H124" s="4">
        <f>94+115</f>
        <v>209</v>
      </c>
      <c r="I124" s="26">
        <f>2715531.44+4507137.6</f>
        <v>7222669.0399999991</v>
      </c>
      <c r="J124" s="26">
        <f>3308834.52+4917454.85</f>
        <v>8226289.3699999992</v>
      </c>
      <c r="K124" s="27">
        <v>6338702.4900000002</v>
      </c>
      <c r="L124" s="27">
        <v>5818434.2599999998</v>
      </c>
      <c r="M124" s="27">
        <v>5722726.2300000004</v>
      </c>
    </row>
    <row r="125" spans="1:13" ht="28.5" x14ac:dyDescent="0.25">
      <c r="A125" s="3" t="s">
        <v>63</v>
      </c>
      <c r="B125" s="1" t="s">
        <v>32</v>
      </c>
      <c r="C125" s="1" t="s">
        <v>19</v>
      </c>
      <c r="D125" s="4">
        <f>94+81</f>
        <v>175</v>
      </c>
      <c r="E125" s="4">
        <f>84+79</f>
        <v>163</v>
      </c>
      <c r="F125" s="4">
        <f>77+106</f>
        <v>183</v>
      </c>
      <c r="G125" s="4">
        <f>77+106</f>
        <v>183</v>
      </c>
      <c r="H125" s="4">
        <f>77+106</f>
        <v>183</v>
      </c>
      <c r="I125" s="26">
        <f>4377210.58+2794179.24</f>
        <v>7171389.8200000003</v>
      </c>
      <c r="J125" s="26">
        <f>4977439.32+3165969.24</f>
        <v>8143408.5600000005</v>
      </c>
      <c r="K125" s="27">
        <v>9862952.0800000001</v>
      </c>
      <c r="L125" s="27">
        <v>8844768.4499999993</v>
      </c>
      <c r="M125" s="27">
        <v>8780963.0899999999</v>
      </c>
    </row>
    <row r="126" spans="1:13" ht="28.5" x14ac:dyDescent="0.25">
      <c r="A126" s="3" t="s">
        <v>64</v>
      </c>
      <c r="B126" s="1" t="s">
        <v>32</v>
      </c>
      <c r="C126" s="1" t="s">
        <v>19</v>
      </c>
      <c r="D126" s="4">
        <f>14+29</f>
        <v>43</v>
      </c>
      <c r="E126" s="4">
        <f>6+40</f>
        <v>46</v>
      </c>
      <c r="F126" s="4">
        <f>10+32</f>
        <v>42</v>
      </c>
      <c r="G126" s="4">
        <f>10+32</f>
        <v>42</v>
      </c>
      <c r="H126" s="4">
        <f>10+32</f>
        <v>42</v>
      </c>
      <c r="I126" s="26">
        <f>1477926.24+1609966.61</f>
        <v>3087892.85</v>
      </c>
      <c r="J126" s="26">
        <f>638992.8+2388346.4</f>
        <v>3027339.2</v>
      </c>
      <c r="K126" s="27">
        <v>2803599.23</v>
      </c>
      <c r="L126" s="27">
        <v>2495908.85</v>
      </c>
      <c r="M126" s="27">
        <v>2464006.1800000002</v>
      </c>
    </row>
    <row r="127" spans="1:13" ht="28.5" x14ac:dyDescent="0.25">
      <c r="A127" s="3" t="s">
        <v>65</v>
      </c>
      <c r="B127" s="1" t="s">
        <v>32</v>
      </c>
      <c r="C127" s="1" t="s">
        <v>19</v>
      </c>
      <c r="D127" s="4">
        <v>0</v>
      </c>
      <c r="E127" s="4">
        <v>1</v>
      </c>
      <c r="F127" s="4">
        <v>2</v>
      </c>
      <c r="G127" s="4">
        <v>2</v>
      </c>
      <c r="H127" s="4">
        <v>2</v>
      </c>
      <c r="I127" s="26">
        <v>0</v>
      </c>
      <c r="J127" s="26">
        <v>135462.46</v>
      </c>
      <c r="K127" s="27">
        <v>355199.52</v>
      </c>
      <c r="L127" s="27">
        <v>355199.52</v>
      </c>
      <c r="M127" s="27">
        <v>355199.52</v>
      </c>
    </row>
    <row r="128" spans="1:13" ht="28.5" x14ac:dyDescent="0.25">
      <c r="A128" s="3" t="s">
        <v>43</v>
      </c>
      <c r="B128" s="1" t="s">
        <v>32</v>
      </c>
      <c r="C128" s="1" t="s">
        <v>19</v>
      </c>
      <c r="D128" s="4">
        <v>14</v>
      </c>
      <c r="E128" s="4">
        <v>44</v>
      </c>
      <c r="F128" s="4">
        <v>58</v>
      </c>
      <c r="G128" s="4">
        <v>58</v>
      </c>
      <c r="H128" s="4">
        <v>58</v>
      </c>
      <c r="I128" s="26">
        <v>419481.86</v>
      </c>
      <c r="J128" s="26">
        <v>1180225.2</v>
      </c>
      <c r="K128" s="27">
        <v>1277417.82</v>
      </c>
      <c r="L128" s="27">
        <v>1372530.34</v>
      </c>
      <c r="M128" s="27">
        <v>1340627.6599999999</v>
      </c>
    </row>
    <row r="129" spans="1:13" ht="28.5" x14ac:dyDescent="0.25">
      <c r="A129" s="3" t="s">
        <v>44</v>
      </c>
      <c r="B129" s="1" t="s">
        <v>32</v>
      </c>
      <c r="C129" s="1" t="s">
        <v>19</v>
      </c>
      <c r="D129" s="4">
        <v>54</v>
      </c>
      <c r="E129" s="4">
        <v>35</v>
      </c>
      <c r="F129" s="4">
        <v>24</v>
      </c>
      <c r="G129" s="4">
        <v>24</v>
      </c>
      <c r="H129" s="4">
        <v>24</v>
      </c>
      <c r="I129" s="26">
        <v>1736571.42</v>
      </c>
      <c r="J129" s="26">
        <v>1364094.55</v>
      </c>
      <c r="K129" s="27">
        <v>662851.35</v>
      </c>
      <c r="L129" s="27">
        <v>1065654.24</v>
      </c>
      <c r="M129" s="27">
        <v>1065654.24</v>
      </c>
    </row>
    <row r="130" spans="1:13" ht="28.5" x14ac:dyDescent="0.25">
      <c r="A130" s="3" t="s">
        <v>45</v>
      </c>
      <c r="B130" s="1" t="s">
        <v>32</v>
      </c>
      <c r="C130" s="1" t="s">
        <v>19</v>
      </c>
      <c r="D130" s="4">
        <v>9</v>
      </c>
      <c r="E130" s="4">
        <v>10</v>
      </c>
      <c r="F130" s="4">
        <v>10</v>
      </c>
      <c r="G130" s="4">
        <v>10</v>
      </c>
      <c r="H130" s="4">
        <v>10</v>
      </c>
      <c r="I130" s="26">
        <v>493242.39</v>
      </c>
      <c r="J130" s="26">
        <v>581365.30000000005</v>
      </c>
      <c r="K130" s="27">
        <v>596885.4</v>
      </c>
      <c r="L130" s="27">
        <v>596885.4</v>
      </c>
      <c r="M130" s="27">
        <v>596885.4</v>
      </c>
    </row>
    <row r="131" spans="1:13" ht="28.5" x14ac:dyDescent="0.25">
      <c r="A131" s="3" t="s">
        <v>66</v>
      </c>
      <c r="B131" s="1" t="s">
        <v>32</v>
      </c>
      <c r="C131" s="1" t="s">
        <v>19</v>
      </c>
      <c r="D131" s="4">
        <v>321</v>
      </c>
      <c r="E131" s="4">
        <v>301</v>
      </c>
      <c r="F131" s="4">
        <v>301</v>
      </c>
      <c r="G131" s="4">
        <v>301</v>
      </c>
      <c r="H131" s="4">
        <v>301</v>
      </c>
      <c r="I131" s="26">
        <v>5461311.0199999996</v>
      </c>
      <c r="J131" s="26">
        <v>4881900.9400000004</v>
      </c>
      <c r="K131" s="27">
        <v>5126086.49</v>
      </c>
      <c r="L131" s="27">
        <v>4605818.2699999996</v>
      </c>
      <c r="M131" s="27">
        <v>4510110.2300000004</v>
      </c>
    </row>
    <row r="132" spans="1:13" ht="28.5" x14ac:dyDescent="0.25">
      <c r="A132" s="3" t="s">
        <v>67</v>
      </c>
      <c r="B132" s="1" t="s">
        <v>32</v>
      </c>
      <c r="C132" s="1" t="s">
        <v>19</v>
      </c>
      <c r="D132" s="4">
        <v>325</v>
      </c>
      <c r="E132" s="4">
        <v>311</v>
      </c>
      <c r="F132" s="4">
        <v>311</v>
      </c>
      <c r="G132" s="4">
        <v>311</v>
      </c>
      <c r="H132" s="4">
        <v>311</v>
      </c>
      <c r="I132" s="26">
        <v>21549043.75</v>
      </c>
      <c r="J132" s="26">
        <v>20004571.190000001</v>
      </c>
      <c r="K132" s="27">
        <v>24968089.109999999</v>
      </c>
      <c r="L132" s="27">
        <v>23121846.890000001</v>
      </c>
      <c r="M132" s="27">
        <v>22670013.75</v>
      </c>
    </row>
    <row r="133" spans="1:13" ht="28.5" x14ac:dyDescent="0.25">
      <c r="A133" s="3" t="s">
        <v>68</v>
      </c>
      <c r="B133" s="1" t="s">
        <v>32</v>
      </c>
      <c r="C133" s="1" t="s">
        <v>19</v>
      </c>
      <c r="D133" s="4">
        <v>20</v>
      </c>
      <c r="E133" s="4">
        <v>26</v>
      </c>
      <c r="F133" s="4">
        <v>26</v>
      </c>
      <c r="G133" s="4">
        <v>26</v>
      </c>
      <c r="H133" s="4">
        <v>26</v>
      </c>
      <c r="I133" s="26">
        <v>5680805</v>
      </c>
      <c r="J133" s="26">
        <v>7195132.8799999999</v>
      </c>
      <c r="K133" s="27">
        <v>9418959.1899999995</v>
      </c>
      <c r="L133" s="27">
        <v>9111268.8200000003</v>
      </c>
      <c r="M133" s="27">
        <v>8336970.2000000002</v>
      </c>
    </row>
    <row r="134" spans="1:13" ht="28.5" x14ac:dyDescent="0.25">
      <c r="A134" s="3" t="s">
        <v>69</v>
      </c>
      <c r="B134" s="1" t="s">
        <v>32</v>
      </c>
      <c r="C134" s="1" t="s">
        <v>19</v>
      </c>
      <c r="D134" s="4">
        <v>3</v>
      </c>
      <c r="E134" s="4">
        <v>3</v>
      </c>
      <c r="F134" s="4">
        <v>3</v>
      </c>
      <c r="G134" s="4">
        <v>3</v>
      </c>
      <c r="H134" s="4">
        <v>3</v>
      </c>
      <c r="I134" s="26">
        <v>1157441.52</v>
      </c>
      <c r="J134" s="26">
        <v>1127197.8899999999</v>
      </c>
      <c r="K134" s="27">
        <v>1135407.75</v>
      </c>
      <c r="L134" s="27">
        <v>827717.38</v>
      </c>
      <c r="M134" s="27">
        <v>795814.7</v>
      </c>
    </row>
    <row r="135" spans="1:13" ht="28.5" x14ac:dyDescent="0.25">
      <c r="A135" s="3" t="s">
        <v>70</v>
      </c>
      <c r="B135" s="1" t="s">
        <v>32</v>
      </c>
      <c r="C135" s="1" t="s">
        <v>19</v>
      </c>
      <c r="D135" s="4">
        <v>92</v>
      </c>
      <c r="E135" s="4">
        <v>103</v>
      </c>
      <c r="F135" s="4">
        <v>103</v>
      </c>
      <c r="G135" s="4">
        <v>103</v>
      </c>
      <c r="H135" s="4">
        <v>103</v>
      </c>
      <c r="I135" s="26">
        <v>2386618.92</v>
      </c>
      <c r="J135" s="26">
        <v>2587546.4300000002</v>
      </c>
      <c r="K135" s="27">
        <v>3039627.06</v>
      </c>
      <c r="L135" s="27">
        <v>2021443.43</v>
      </c>
      <c r="M135" s="27">
        <v>2198627.5099999998</v>
      </c>
    </row>
    <row r="136" spans="1:13" ht="28.5" x14ac:dyDescent="0.25">
      <c r="A136" s="3" t="s">
        <v>71</v>
      </c>
      <c r="B136" s="1" t="s">
        <v>32</v>
      </c>
      <c r="C136" s="1" t="s">
        <v>19</v>
      </c>
      <c r="D136" s="4">
        <v>85</v>
      </c>
      <c r="E136" s="4">
        <v>82</v>
      </c>
      <c r="F136" s="4">
        <v>82</v>
      </c>
      <c r="G136" s="4">
        <v>82</v>
      </c>
      <c r="H136" s="4">
        <v>82</v>
      </c>
      <c r="I136" s="26">
        <v>4573895.05</v>
      </c>
      <c r="J136" s="26">
        <v>4303275.54</v>
      </c>
      <c r="K136" s="27">
        <v>5489222.6500000004</v>
      </c>
      <c r="L136" s="27">
        <v>4471039.0199999996</v>
      </c>
      <c r="M136" s="27">
        <v>4407233.66</v>
      </c>
    </row>
    <row r="137" spans="1:13" ht="28.5" x14ac:dyDescent="0.25">
      <c r="A137" s="3" t="s">
        <v>72</v>
      </c>
      <c r="B137" s="1" t="s">
        <v>32</v>
      </c>
      <c r="C137" s="1" t="s">
        <v>19</v>
      </c>
      <c r="D137" s="4">
        <v>9</v>
      </c>
      <c r="E137" s="4">
        <v>9</v>
      </c>
      <c r="F137" s="4">
        <v>9</v>
      </c>
      <c r="G137" s="4">
        <v>9</v>
      </c>
      <c r="H137" s="4">
        <v>9</v>
      </c>
      <c r="I137" s="26">
        <v>1126007.6399999999</v>
      </c>
      <c r="J137" s="26">
        <v>1102473.8999999999</v>
      </c>
      <c r="K137" s="27">
        <v>1105772.7</v>
      </c>
      <c r="L137" s="27">
        <v>1508575.59</v>
      </c>
      <c r="M137" s="27">
        <v>1508575.59</v>
      </c>
    </row>
    <row r="138" spans="1:13" ht="28.5" x14ac:dyDescent="0.25">
      <c r="A138" s="3" t="s">
        <v>73</v>
      </c>
      <c r="B138" s="1" t="s">
        <v>32</v>
      </c>
      <c r="C138" s="1" t="s">
        <v>19</v>
      </c>
      <c r="D138" s="4">
        <v>0</v>
      </c>
      <c r="E138" s="4">
        <v>3</v>
      </c>
      <c r="F138" s="4">
        <v>3</v>
      </c>
      <c r="G138" s="4">
        <v>3</v>
      </c>
      <c r="H138" s="4">
        <v>3</v>
      </c>
      <c r="I138" s="26">
        <v>0</v>
      </c>
      <c r="J138" s="26">
        <v>496885.86</v>
      </c>
      <c r="K138" s="27">
        <v>679739.28</v>
      </c>
      <c r="L138" s="27">
        <v>679739.28</v>
      </c>
      <c r="M138" s="27">
        <v>679739.28</v>
      </c>
    </row>
    <row r="139" spans="1:13" ht="28.5" x14ac:dyDescent="0.25">
      <c r="A139" s="3" t="s">
        <v>74</v>
      </c>
      <c r="B139" s="1" t="s">
        <v>32</v>
      </c>
      <c r="C139" s="1" t="s">
        <v>19</v>
      </c>
      <c r="D139" s="4">
        <v>72</v>
      </c>
      <c r="E139" s="4">
        <v>48</v>
      </c>
      <c r="F139" s="4">
        <v>0</v>
      </c>
      <c r="G139" s="4">
        <v>12</v>
      </c>
      <c r="H139" s="4">
        <v>12</v>
      </c>
      <c r="I139" s="26">
        <v>2333213.88</v>
      </c>
      <c r="J139" s="26">
        <v>1916655.22</v>
      </c>
      <c r="K139" s="27">
        <v>0</v>
      </c>
      <c r="L139" s="27">
        <v>494079.36</v>
      </c>
      <c r="M139" s="27">
        <v>494210.97</v>
      </c>
    </row>
    <row r="140" spans="1:13" ht="28.5" x14ac:dyDescent="0.25">
      <c r="A140" s="3" t="s">
        <v>75</v>
      </c>
      <c r="B140" s="1" t="s">
        <v>32</v>
      </c>
      <c r="C140" s="1" t="s">
        <v>19</v>
      </c>
      <c r="D140" s="4">
        <v>0</v>
      </c>
      <c r="E140" s="4">
        <v>24</v>
      </c>
      <c r="F140" s="4">
        <v>72</v>
      </c>
      <c r="G140" s="4">
        <v>60</v>
      </c>
      <c r="H140" s="4">
        <v>60</v>
      </c>
      <c r="I140" s="26">
        <v>0</v>
      </c>
      <c r="J140" s="26">
        <v>963307.99</v>
      </c>
      <c r="K140" s="27">
        <v>2786692.2</v>
      </c>
      <c r="L140" s="27">
        <v>2021996.92</v>
      </c>
      <c r="M140" s="27">
        <v>1990752.43</v>
      </c>
    </row>
    <row r="141" spans="1:13" ht="28.5" x14ac:dyDescent="0.25">
      <c r="A141" s="3" t="s">
        <v>76</v>
      </c>
      <c r="B141" s="1" t="s">
        <v>32</v>
      </c>
      <c r="C141" s="1" t="s">
        <v>19</v>
      </c>
      <c r="D141" s="4">
        <v>77</v>
      </c>
      <c r="E141" s="4">
        <v>45</v>
      </c>
      <c r="F141" s="4">
        <v>18</v>
      </c>
      <c r="G141" s="4">
        <v>18</v>
      </c>
      <c r="H141" s="4">
        <v>18</v>
      </c>
      <c r="I141" s="26">
        <v>2543309.16</v>
      </c>
      <c r="J141" s="26">
        <v>1796864.26</v>
      </c>
      <c r="K141" s="27">
        <v>793640.46</v>
      </c>
      <c r="L141" s="27">
        <v>816013.74</v>
      </c>
      <c r="M141" s="27">
        <v>816211.2</v>
      </c>
    </row>
    <row r="142" spans="1:13" ht="28.5" x14ac:dyDescent="0.25">
      <c r="A142" s="3" t="s">
        <v>77</v>
      </c>
      <c r="B142" s="1" t="s">
        <v>32</v>
      </c>
      <c r="C142" s="1" t="s">
        <v>19</v>
      </c>
      <c r="D142" s="4">
        <v>30</v>
      </c>
      <c r="E142" s="4">
        <v>62</v>
      </c>
      <c r="F142" s="4">
        <v>107</v>
      </c>
      <c r="G142" s="4">
        <v>92</v>
      </c>
      <c r="H142" s="4">
        <v>92</v>
      </c>
      <c r="I142" s="26">
        <v>1231372.45</v>
      </c>
      <c r="J142" s="26">
        <v>2500988.36</v>
      </c>
      <c r="K142" s="27">
        <v>3955812.04</v>
      </c>
      <c r="L142" s="27">
        <v>2787295.14</v>
      </c>
      <c r="M142" s="27">
        <v>2724499.02</v>
      </c>
    </row>
    <row r="143" spans="1:13" ht="28.5" x14ac:dyDescent="0.25">
      <c r="A143" s="3" t="s">
        <v>78</v>
      </c>
      <c r="B143" s="1" t="s">
        <v>32</v>
      </c>
      <c r="C143" s="1" t="s">
        <v>19</v>
      </c>
      <c r="D143" s="4">
        <f>154+154</f>
        <v>308</v>
      </c>
      <c r="E143" s="4">
        <f>154+182</f>
        <v>336</v>
      </c>
      <c r="F143" s="4">
        <f>140+210</f>
        <v>350</v>
      </c>
      <c r="G143" s="4">
        <f>112+238</f>
        <v>350</v>
      </c>
      <c r="H143" s="4">
        <f>112+210</f>
        <v>322</v>
      </c>
      <c r="I143" s="26">
        <f>2579974.32+5193840.37</f>
        <v>7773814.6899999995</v>
      </c>
      <c r="J143" s="26">
        <f>3396158.92+7786470.33</f>
        <v>11182629.25</v>
      </c>
      <c r="K143" s="27">
        <v>12542443.35</v>
      </c>
      <c r="L143" s="27">
        <v>11806587.779999999</v>
      </c>
      <c r="M143" s="27">
        <v>11106358.1</v>
      </c>
    </row>
    <row r="144" spans="1:13" ht="28.5" x14ac:dyDescent="0.25">
      <c r="A144" s="3" t="s">
        <v>79</v>
      </c>
      <c r="B144" s="1" t="s">
        <v>32</v>
      </c>
      <c r="C144" s="1" t="s">
        <v>19</v>
      </c>
      <c r="D144" s="4">
        <f>60+248</f>
        <v>308</v>
      </c>
      <c r="E144" s="4">
        <f>120+168</f>
        <v>288</v>
      </c>
      <c r="F144" s="4">
        <f>130+140</f>
        <v>270</v>
      </c>
      <c r="G144" s="4">
        <f>180+112</f>
        <v>292</v>
      </c>
      <c r="H144" s="4">
        <f>180+140</f>
        <v>320</v>
      </c>
      <c r="I144" s="26">
        <f>1832125.8+9732948.78</f>
        <v>11565074.58</v>
      </c>
      <c r="J144" s="26">
        <f>4645953.6+7270660.82</f>
        <v>11916614.42</v>
      </c>
      <c r="K144" s="27">
        <v>11271542.060000001</v>
      </c>
      <c r="L144" s="27">
        <v>10289768.869999999</v>
      </c>
      <c r="M144" s="27">
        <v>11558676.199999999</v>
      </c>
    </row>
    <row r="145" spans="1:13" ht="28.5" x14ac:dyDescent="0.25">
      <c r="A145" s="3" t="s">
        <v>80</v>
      </c>
      <c r="B145" s="1" t="s">
        <v>32</v>
      </c>
      <c r="C145" s="1" t="s">
        <v>19</v>
      </c>
      <c r="D145" s="4">
        <v>0</v>
      </c>
      <c r="E145" s="4">
        <v>0</v>
      </c>
      <c r="F145" s="4">
        <v>40</v>
      </c>
      <c r="G145" s="4">
        <v>40</v>
      </c>
      <c r="H145" s="4">
        <v>40</v>
      </c>
      <c r="I145" s="26">
        <v>0</v>
      </c>
      <c r="J145" s="26">
        <v>0</v>
      </c>
      <c r="K145" s="27">
        <v>890568</v>
      </c>
      <c r="L145" s="27">
        <v>890568</v>
      </c>
      <c r="M145" s="27">
        <v>890568</v>
      </c>
    </row>
    <row r="146" spans="1:13" ht="28.5" x14ac:dyDescent="0.25">
      <c r="A146" s="3" t="s">
        <v>81</v>
      </c>
      <c r="B146" s="1" t="s">
        <v>32</v>
      </c>
      <c r="C146" s="1" t="s">
        <v>19</v>
      </c>
      <c r="D146" s="4">
        <v>0</v>
      </c>
      <c r="E146" s="4">
        <v>0</v>
      </c>
      <c r="F146" s="4">
        <v>0</v>
      </c>
      <c r="G146" s="4">
        <v>0</v>
      </c>
      <c r="H146" s="4">
        <v>36</v>
      </c>
      <c r="I146" s="26">
        <v>0</v>
      </c>
      <c r="J146" s="26">
        <v>0</v>
      </c>
      <c r="K146" s="27">
        <v>0</v>
      </c>
      <c r="L146" s="27">
        <v>0</v>
      </c>
      <c r="M146" s="27">
        <v>801511.2</v>
      </c>
    </row>
    <row r="147" spans="1:13" ht="28.5" x14ac:dyDescent="0.25">
      <c r="A147" s="24" t="s">
        <v>82</v>
      </c>
      <c r="B147" s="24"/>
      <c r="C147" s="24"/>
      <c r="D147" s="23"/>
      <c r="E147" s="23"/>
      <c r="F147" s="23"/>
      <c r="G147" s="23"/>
      <c r="H147" s="23"/>
      <c r="I147" s="25">
        <f t="shared" ref="I147:M147" si="15">SUM(I148:I193)</f>
        <v>77698584.810000002</v>
      </c>
      <c r="J147" s="25">
        <f t="shared" si="15"/>
        <v>83383012.550000012</v>
      </c>
      <c r="K147" s="25">
        <f t="shared" si="15"/>
        <v>89901852.809999973</v>
      </c>
      <c r="L147" s="25">
        <f t="shared" si="15"/>
        <v>83419495.633999974</v>
      </c>
      <c r="M147" s="25">
        <f t="shared" si="15"/>
        <v>84597182.929999977</v>
      </c>
    </row>
    <row r="148" spans="1:13" ht="28.5" x14ac:dyDescent="0.25">
      <c r="A148" s="1" t="s">
        <v>83</v>
      </c>
      <c r="B148" s="1" t="s">
        <v>32</v>
      </c>
      <c r="C148" s="1" t="s">
        <v>19</v>
      </c>
      <c r="D148" s="4">
        <v>60</v>
      </c>
      <c r="E148" s="4">
        <v>60</v>
      </c>
      <c r="F148" s="4">
        <v>60</v>
      </c>
      <c r="G148" s="4">
        <v>52</v>
      </c>
      <c r="H148" s="4">
        <v>54</v>
      </c>
      <c r="I148" s="26">
        <v>1392372.6</v>
      </c>
      <c r="J148" s="26">
        <v>1896028.8</v>
      </c>
      <c r="K148" s="27">
        <v>1569067.07</v>
      </c>
      <c r="L148" s="27">
        <v>1066818.084</v>
      </c>
      <c r="M148" s="27">
        <v>1177101.1399999999</v>
      </c>
    </row>
    <row r="149" spans="1:13" ht="28.5" x14ac:dyDescent="0.25">
      <c r="A149" s="1" t="s">
        <v>84</v>
      </c>
      <c r="B149" s="1" t="s">
        <v>32</v>
      </c>
      <c r="C149" s="1" t="s">
        <v>19</v>
      </c>
      <c r="D149" s="4">
        <v>0</v>
      </c>
      <c r="E149" s="4">
        <v>0</v>
      </c>
      <c r="F149" s="4">
        <v>0</v>
      </c>
      <c r="G149" s="4">
        <v>10</v>
      </c>
      <c r="H149" s="4">
        <v>11</v>
      </c>
      <c r="I149" s="26">
        <v>0</v>
      </c>
      <c r="J149" s="26">
        <v>0</v>
      </c>
      <c r="K149" s="27">
        <v>0</v>
      </c>
      <c r="L149" s="27">
        <v>459320.21</v>
      </c>
      <c r="M149" s="27">
        <v>525462.31999999995</v>
      </c>
    </row>
    <row r="150" spans="1:13" ht="28.5" x14ac:dyDescent="0.25">
      <c r="A150" s="1" t="s">
        <v>85</v>
      </c>
      <c r="B150" s="1" t="s">
        <v>32</v>
      </c>
      <c r="C150" s="1" t="s">
        <v>19</v>
      </c>
      <c r="D150" s="4">
        <v>94</v>
      </c>
      <c r="E150" s="4">
        <v>102</v>
      </c>
      <c r="F150" s="4">
        <v>104</v>
      </c>
      <c r="G150" s="4">
        <v>104</v>
      </c>
      <c r="H150" s="4">
        <v>98</v>
      </c>
      <c r="I150" s="26">
        <v>2478099.44</v>
      </c>
      <c r="J150" s="26">
        <v>3042753.84</v>
      </c>
      <c r="K150" s="27">
        <v>2420906.5499999998</v>
      </c>
      <c r="L150" s="27">
        <v>1934586.26</v>
      </c>
      <c r="M150" s="27">
        <v>1803669.46</v>
      </c>
    </row>
    <row r="151" spans="1:13" ht="28.5" x14ac:dyDescent="0.25">
      <c r="A151" s="1" t="s">
        <v>86</v>
      </c>
      <c r="B151" s="1" t="s">
        <v>32</v>
      </c>
      <c r="C151" s="1" t="s">
        <v>19</v>
      </c>
      <c r="D151" s="4">
        <v>120</v>
      </c>
      <c r="E151" s="4">
        <v>85</v>
      </c>
      <c r="F151" s="4">
        <v>91</v>
      </c>
      <c r="G151" s="4">
        <v>95</v>
      </c>
      <c r="H151" s="4">
        <v>102</v>
      </c>
      <c r="I151" s="26">
        <v>4850785.2</v>
      </c>
      <c r="J151" s="26">
        <v>3938532.8</v>
      </c>
      <c r="K151" s="27">
        <v>3982405.88</v>
      </c>
      <c r="L151" s="27">
        <v>3695345.73</v>
      </c>
      <c r="M151" s="27">
        <v>4072574.08</v>
      </c>
    </row>
    <row r="152" spans="1:13" ht="28.5" x14ac:dyDescent="0.25">
      <c r="A152" s="1" t="s">
        <v>87</v>
      </c>
      <c r="B152" s="1" t="s">
        <v>32</v>
      </c>
      <c r="C152" s="1" t="s">
        <v>19</v>
      </c>
      <c r="D152" s="4">
        <v>10</v>
      </c>
      <c r="E152" s="4">
        <v>10</v>
      </c>
      <c r="F152" s="4">
        <v>10</v>
      </c>
      <c r="G152" s="4">
        <v>10</v>
      </c>
      <c r="H152" s="4">
        <v>10</v>
      </c>
      <c r="I152" s="26">
        <v>984063.8</v>
      </c>
      <c r="J152" s="26">
        <v>1198244.6000000001</v>
      </c>
      <c r="K152" s="27">
        <v>1246174.3799999999</v>
      </c>
      <c r="L152" s="27">
        <v>1296021.3600000001</v>
      </c>
      <c r="M152" s="27">
        <v>1347862.21</v>
      </c>
    </row>
    <row r="153" spans="1:13" ht="28.5" x14ac:dyDescent="0.25">
      <c r="A153" s="1" t="s">
        <v>88</v>
      </c>
      <c r="B153" s="1" t="s">
        <v>32</v>
      </c>
      <c r="C153" s="1" t="s">
        <v>19</v>
      </c>
      <c r="D153" s="4">
        <f>103+87</f>
        <v>190</v>
      </c>
      <c r="E153" s="4">
        <f>101+86</f>
        <v>187</v>
      </c>
      <c r="F153" s="4">
        <f>105+117</f>
        <v>222</v>
      </c>
      <c r="G153" s="4">
        <f>100+117</f>
        <v>217</v>
      </c>
      <c r="H153" s="4">
        <f>103+117</f>
        <v>220</v>
      </c>
      <c r="I153" s="26">
        <f>2988355.48+2079457.47</f>
        <v>5067812.95</v>
      </c>
      <c r="J153" s="26">
        <f>3079603.12+2333771.68</f>
        <v>5413374.8000000007</v>
      </c>
      <c r="K153" s="27">
        <v>6677150.1399999997</v>
      </c>
      <c r="L153" s="27">
        <v>6030058.8600000003</v>
      </c>
      <c r="M153" s="27">
        <v>6201065.1299999999</v>
      </c>
    </row>
    <row r="154" spans="1:13" ht="28.5" x14ac:dyDescent="0.25">
      <c r="A154" s="1" t="s">
        <v>89</v>
      </c>
      <c r="B154" s="1" t="s">
        <v>32</v>
      </c>
      <c r="C154" s="1" t="s">
        <v>19</v>
      </c>
      <c r="D154" s="4">
        <f>87+156</f>
        <v>243</v>
      </c>
      <c r="E154" s="4">
        <f>60+126</f>
        <v>186</v>
      </c>
      <c r="F154" s="4">
        <f>81+156</f>
        <v>237</v>
      </c>
      <c r="G154" s="4">
        <f>84+156</f>
        <v>240</v>
      </c>
      <c r="H154" s="4">
        <f>86+156</f>
        <v>242</v>
      </c>
      <c r="I154" s="26">
        <f>3239450.22+4657922.88</f>
        <v>7897373.0999999996</v>
      </c>
      <c r="J154" s="26">
        <f>2572827.6+4225824.54</f>
        <v>6798652.1400000006</v>
      </c>
      <c r="K154" s="27">
        <v>9209202.4700000007</v>
      </c>
      <c r="L154" s="27">
        <v>9280250.0800000001</v>
      </c>
      <c r="M154" s="27">
        <v>10211148.189999999</v>
      </c>
    </row>
    <row r="155" spans="1:13" ht="28.5" x14ac:dyDescent="0.25">
      <c r="A155" s="1" t="s">
        <v>90</v>
      </c>
      <c r="B155" s="1" t="s">
        <v>32</v>
      </c>
      <c r="C155" s="1" t="s">
        <v>19</v>
      </c>
      <c r="D155" s="4">
        <v>24</v>
      </c>
      <c r="E155" s="4">
        <f>24+5</f>
        <v>29</v>
      </c>
      <c r="F155" s="4">
        <f>24+10</f>
        <v>34</v>
      </c>
      <c r="G155" s="4">
        <f>24+10</f>
        <v>34</v>
      </c>
      <c r="H155" s="4">
        <f>18+10</f>
        <v>28</v>
      </c>
      <c r="I155" s="26">
        <v>1614824.64</v>
      </c>
      <c r="J155" s="26">
        <f>1666257.84+390153.7</f>
        <v>2056411.54</v>
      </c>
      <c r="K155" s="27">
        <v>1971950.37</v>
      </c>
      <c r="L155" s="27">
        <v>1733576.31</v>
      </c>
      <c r="M155" s="27">
        <v>1305184.25</v>
      </c>
    </row>
    <row r="156" spans="1:13" ht="28.5" x14ac:dyDescent="0.25">
      <c r="A156" s="1" t="s">
        <v>91</v>
      </c>
      <c r="B156" s="1" t="s">
        <v>32</v>
      </c>
      <c r="C156" s="1" t="s">
        <v>19</v>
      </c>
      <c r="D156" s="4">
        <v>16</v>
      </c>
      <c r="E156" s="4">
        <v>16</v>
      </c>
      <c r="F156" s="4">
        <v>14</v>
      </c>
      <c r="G156" s="4">
        <v>14</v>
      </c>
      <c r="H156" s="4">
        <v>14</v>
      </c>
      <c r="I156" s="26">
        <v>1529311.52</v>
      </c>
      <c r="J156" s="26">
        <v>2080555.2</v>
      </c>
      <c r="K156" s="27">
        <v>1461994.46</v>
      </c>
      <c r="L156" s="27">
        <v>1154304.07</v>
      </c>
      <c r="M156" s="27">
        <v>1122401.3999999999</v>
      </c>
    </row>
    <row r="157" spans="1:13" ht="28.5" x14ac:dyDescent="0.25">
      <c r="A157" s="1" t="s">
        <v>92</v>
      </c>
      <c r="B157" s="1" t="s">
        <v>32</v>
      </c>
      <c r="C157" s="1" t="s">
        <v>19</v>
      </c>
      <c r="D157" s="4">
        <f>29+28</f>
        <v>57</v>
      </c>
      <c r="E157" s="4">
        <f>43+30</f>
        <v>73</v>
      </c>
      <c r="F157" s="4">
        <f>36+30</f>
        <v>66</v>
      </c>
      <c r="G157" s="4">
        <f>32+30</f>
        <v>62</v>
      </c>
      <c r="H157" s="4">
        <f>39+30</f>
        <v>69</v>
      </c>
      <c r="I157" s="26">
        <f>765251.13+85438.92</f>
        <v>850690.05</v>
      </c>
      <c r="J157" s="26">
        <f>1272434.07+346591.5</f>
        <v>1619025.57</v>
      </c>
      <c r="K157" s="27">
        <v>1086353.1599999999</v>
      </c>
      <c r="L157" s="27">
        <v>694954.36</v>
      </c>
      <c r="M157" s="27">
        <v>937024.38</v>
      </c>
    </row>
    <row r="158" spans="1:13" ht="28.5" x14ac:dyDescent="0.25">
      <c r="A158" s="1" t="s">
        <v>93</v>
      </c>
      <c r="B158" s="1" t="s">
        <v>32</v>
      </c>
      <c r="C158" s="1" t="s">
        <v>19</v>
      </c>
      <c r="D158" s="4">
        <f>24+16</f>
        <v>40</v>
      </c>
      <c r="E158" s="4">
        <f>11+21</f>
        <v>32</v>
      </c>
      <c r="F158" s="4">
        <f>16+21</f>
        <v>37</v>
      </c>
      <c r="G158" s="4">
        <f>16+21</f>
        <v>37</v>
      </c>
      <c r="H158" s="4">
        <f>14+21</f>
        <v>35</v>
      </c>
      <c r="I158" s="26">
        <f>829860.48+146466.88</f>
        <v>976327.36</v>
      </c>
      <c r="J158" s="26">
        <f>500531.46+452773.86</f>
        <v>953305.32000000007</v>
      </c>
      <c r="K158" s="27">
        <f>757167.59+498564.3</f>
        <v>1255731.8899999999</v>
      </c>
      <c r="L158" s="27">
        <f>787454.29+498564.3</f>
        <v>1286018.5900000001</v>
      </c>
      <c r="M158" s="27">
        <f>716583.4+498564.3</f>
        <v>1215147.7</v>
      </c>
    </row>
    <row r="159" spans="1:13" ht="28.5" x14ac:dyDescent="0.25">
      <c r="A159" s="1" t="s">
        <v>94</v>
      </c>
      <c r="B159" s="1" t="s">
        <v>32</v>
      </c>
      <c r="C159" s="1" t="s">
        <v>19</v>
      </c>
      <c r="D159" s="4">
        <f>519+10</f>
        <v>529</v>
      </c>
      <c r="E159" s="4">
        <f>650+10</f>
        <v>660</v>
      </c>
      <c r="F159" s="4">
        <f>630+10</f>
        <v>640</v>
      </c>
      <c r="G159" s="4">
        <f>630+10</f>
        <v>640</v>
      </c>
      <c r="H159" s="4">
        <f>630+10</f>
        <v>640</v>
      </c>
      <c r="I159" s="26">
        <f>6407984.01+100384.2</f>
        <v>6508368.21</v>
      </c>
      <c r="J159" s="26">
        <f>6859975.01+54314.1</f>
        <v>6914289.1099999994</v>
      </c>
      <c r="K159" s="27">
        <v>9047809.4700000007</v>
      </c>
      <c r="L159" s="27">
        <v>8527541.1799999997</v>
      </c>
      <c r="M159" s="27">
        <v>9174229.1099999994</v>
      </c>
    </row>
    <row r="160" spans="1:13" ht="28.5" x14ac:dyDescent="0.25">
      <c r="A160" s="1" t="s">
        <v>95</v>
      </c>
      <c r="B160" s="1" t="s">
        <v>32</v>
      </c>
      <c r="C160" s="1" t="s">
        <v>19</v>
      </c>
      <c r="D160" s="4">
        <f>72+12+6</f>
        <v>90</v>
      </c>
      <c r="E160" s="4">
        <f>132+12+12</f>
        <v>156</v>
      </c>
      <c r="F160" s="4">
        <f>212+12+12</f>
        <v>236</v>
      </c>
      <c r="G160" s="4">
        <f>250+12+12</f>
        <v>274</v>
      </c>
      <c r="H160" s="4">
        <f>250+12+12</f>
        <v>274</v>
      </c>
      <c r="I160" s="26">
        <f>1651694.4+388878.12+100384.2</f>
        <v>2140956.7200000002</v>
      </c>
      <c r="J160" s="26">
        <f>2364790.52+504266.28+162763.08</f>
        <v>3031819.88</v>
      </c>
      <c r="K160" s="27">
        <v>3146440.6</v>
      </c>
      <c r="L160" s="27">
        <v>3041092.31</v>
      </c>
      <c r="M160" s="27">
        <v>3316543.02</v>
      </c>
    </row>
    <row r="161" spans="1:13" ht="28.5" x14ac:dyDescent="0.25">
      <c r="A161" s="1" t="s">
        <v>96</v>
      </c>
      <c r="B161" s="1" t="s">
        <v>32</v>
      </c>
      <c r="C161" s="1" t="s">
        <v>19</v>
      </c>
      <c r="D161" s="4">
        <v>3</v>
      </c>
      <c r="E161" s="4">
        <v>5</v>
      </c>
      <c r="F161" s="4">
        <v>5</v>
      </c>
      <c r="G161" s="4">
        <v>6</v>
      </c>
      <c r="H161" s="4">
        <v>6</v>
      </c>
      <c r="I161" s="26">
        <v>123354.18</v>
      </c>
      <c r="J161" s="26">
        <v>162275.5</v>
      </c>
      <c r="K161" s="27">
        <v>260147.09</v>
      </c>
      <c r="L161" s="27">
        <v>312763.2</v>
      </c>
      <c r="M161" s="27">
        <v>312763.2</v>
      </c>
    </row>
    <row r="162" spans="1:13" ht="28.5" x14ac:dyDescent="0.25">
      <c r="A162" s="1" t="s">
        <v>97</v>
      </c>
      <c r="B162" s="1" t="s">
        <v>32</v>
      </c>
      <c r="C162" s="1" t="s">
        <v>19</v>
      </c>
      <c r="D162" s="4">
        <f>46+29</f>
        <v>75</v>
      </c>
      <c r="E162" s="4">
        <f>32+29</f>
        <v>61</v>
      </c>
      <c r="F162" s="4">
        <f>32+29</f>
        <v>61</v>
      </c>
      <c r="G162" s="4">
        <f>35+29</f>
        <v>64</v>
      </c>
      <c r="H162" s="4">
        <f>35+29</f>
        <v>64</v>
      </c>
      <c r="I162" s="26">
        <f>589185.94+465610.37</f>
        <v>1054796.31</v>
      </c>
      <c r="J162" s="26">
        <f>351229.12+413915.84</f>
        <v>765144.96</v>
      </c>
      <c r="K162" s="27">
        <f>352654.1+458360.95</f>
        <v>811015.05</v>
      </c>
      <c r="L162" s="27">
        <f>385715.4+458360.95</f>
        <v>844076.35000000009</v>
      </c>
      <c r="M162" s="27">
        <f>385715.4+458360.95</f>
        <v>844076.35000000009</v>
      </c>
    </row>
    <row r="163" spans="1:13" ht="28.5" x14ac:dyDescent="0.25">
      <c r="A163" s="1" t="s">
        <v>98</v>
      </c>
      <c r="B163" s="1" t="s">
        <v>32</v>
      </c>
      <c r="C163" s="1" t="s">
        <v>19</v>
      </c>
      <c r="D163" s="4">
        <f>6+26</f>
        <v>32</v>
      </c>
      <c r="E163" s="4">
        <f>13+26</f>
        <v>39</v>
      </c>
      <c r="F163" s="4">
        <f>23+26</f>
        <v>49</v>
      </c>
      <c r="G163" s="4">
        <f>33+26</f>
        <v>59</v>
      </c>
      <c r="H163" s="4">
        <f>33+26</f>
        <v>59</v>
      </c>
      <c r="I163" s="26">
        <f>176463.78+669874.4</f>
        <v>846338.18</v>
      </c>
      <c r="J163" s="26">
        <f>211177.33+654023.5</f>
        <v>865200.83</v>
      </c>
      <c r="K163" s="27">
        <f>404409.52+690127.1</f>
        <v>1094536.6200000001</v>
      </c>
      <c r="L163" s="27">
        <f>580239.66+690127.1</f>
        <v>1270366.76</v>
      </c>
      <c r="M163" s="27">
        <f>580239.66+690127.1</f>
        <v>1270366.76</v>
      </c>
    </row>
    <row r="164" spans="1:13" ht="28.5" x14ac:dyDescent="0.25">
      <c r="A164" s="1" t="s">
        <v>99</v>
      </c>
      <c r="B164" s="1" t="s">
        <v>32</v>
      </c>
      <c r="C164" s="1" t="s">
        <v>19</v>
      </c>
      <c r="D164" s="4">
        <v>3</v>
      </c>
      <c r="E164" s="4">
        <v>3</v>
      </c>
      <c r="F164" s="4">
        <v>4</v>
      </c>
      <c r="G164" s="4">
        <v>4</v>
      </c>
      <c r="H164" s="4">
        <v>4</v>
      </c>
      <c r="I164" s="26">
        <v>129899.7</v>
      </c>
      <c r="J164" s="26">
        <v>145626.45000000001</v>
      </c>
      <c r="K164" s="27">
        <v>192684.96</v>
      </c>
      <c r="L164" s="27">
        <v>192684.96</v>
      </c>
      <c r="M164" s="27">
        <v>192684.96</v>
      </c>
    </row>
    <row r="165" spans="1:13" ht="28.5" x14ac:dyDescent="0.25">
      <c r="A165" s="1" t="s">
        <v>100</v>
      </c>
      <c r="B165" s="1" t="s">
        <v>32</v>
      </c>
      <c r="C165" s="1" t="s">
        <v>19</v>
      </c>
      <c r="D165" s="4">
        <v>50</v>
      </c>
      <c r="E165" s="4">
        <v>0</v>
      </c>
      <c r="F165" s="4">
        <v>0</v>
      </c>
      <c r="G165" s="4">
        <v>0</v>
      </c>
      <c r="H165" s="4">
        <v>0</v>
      </c>
      <c r="I165" s="26">
        <v>405194</v>
      </c>
      <c r="J165" s="26">
        <v>0</v>
      </c>
      <c r="K165" s="27">
        <v>0</v>
      </c>
      <c r="L165" s="27">
        <v>0</v>
      </c>
      <c r="M165" s="27">
        <v>0</v>
      </c>
    </row>
    <row r="166" spans="1:13" ht="28.5" x14ac:dyDescent="0.25">
      <c r="A166" s="1" t="s">
        <v>101</v>
      </c>
      <c r="B166" s="1" t="s">
        <v>32</v>
      </c>
      <c r="C166" s="1" t="s">
        <v>19</v>
      </c>
      <c r="D166" s="4">
        <v>40</v>
      </c>
      <c r="E166" s="4">
        <v>29</v>
      </c>
      <c r="F166" s="4">
        <v>26</v>
      </c>
      <c r="G166" s="4">
        <v>26</v>
      </c>
      <c r="H166" s="4">
        <v>26</v>
      </c>
      <c r="I166" s="26">
        <v>736517.6</v>
      </c>
      <c r="J166" s="26">
        <v>139854.82</v>
      </c>
      <c r="K166" s="27">
        <v>154840.29999999999</v>
      </c>
      <c r="L166" s="27">
        <v>154840.29999999999</v>
      </c>
      <c r="M166" s="27">
        <v>154840.29999999999</v>
      </c>
    </row>
    <row r="167" spans="1:13" ht="28.5" x14ac:dyDescent="0.25">
      <c r="A167" s="1" t="s">
        <v>102</v>
      </c>
      <c r="B167" s="1" t="s">
        <v>32</v>
      </c>
      <c r="C167" s="1" t="s">
        <v>19</v>
      </c>
      <c r="D167" s="4">
        <v>88</v>
      </c>
      <c r="E167" s="4">
        <v>95</v>
      </c>
      <c r="F167" s="4">
        <v>90</v>
      </c>
      <c r="G167" s="4">
        <v>90</v>
      </c>
      <c r="H167" s="4">
        <v>90</v>
      </c>
      <c r="I167" s="26">
        <v>2475571.12</v>
      </c>
      <c r="J167" s="26">
        <v>3642313.3</v>
      </c>
      <c r="K167" s="27">
        <v>3604741.75</v>
      </c>
      <c r="L167" s="27">
        <v>3297051.36</v>
      </c>
      <c r="M167" s="27">
        <v>3265148.69</v>
      </c>
    </row>
    <row r="168" spans="1:13" ht="28.5" x14ac:dyDescent="0.25">
      <c r="A168" s="1" t="s">
        <v>103</v>
      </c>
      <c r="B168" s="1" t="s">
        <v>32</v>
      </c>
      <c r="C168" s="1" t="s">
        <v>19</v>
      </c>
      <c r="D168" s="4">
        <v>6</v>
      </c>
      <c r="E168" s="4">
        <v>3</v>
      </c>
      <c r="F168" s="4">
        <v>10</v>
      </c>
      <c r="G168" s="4">
        <v>10</v>
      </c>
      <c r="H168" s="4">
        <v>10</v>
      </c>
      <c r="I168" s="26">
        <v>250235.56</v>
      </c>
      <c r="J168" s="26">
        <v>284976.27</v>
      </c>
      <c r="K168" s="27">
        <v>314473.90000000002</v>
      </c>
      <c r="L168" s="27">
        <v>314473.90000000002</v>
      </c>
      <c r="M168" s="27">
        <v>314473.90000000002</v>
      </c>
    </row>
    <row r="169" spans="1:13" ht="28.5" x14ac:dyDescent="0.25">
      <c r="A169" s="1" t="s">
        <v>104</v>
      </c>
      <c r="B169" s="1" t="s">
        <v>32</v>
      </c>
      <c r="C169" s="1" t="s">
        <v>19</v>
      </c>
      <c r="D169" s="4">
        <v>15</v>
      </c>
      <c r="E169" s="4">
        <v>25</v>
      </c>
      <c r="F169" s="4">
        <v>17</v>
      </c>
      <c r="G169" s="4">
        <v>17</v>
      </c>
      <c r="H169" s="4">
        <v>17</v>
      </c>
      <c r="I169" s="26">
        <v>277018.34999999998</v>
      </c>
      <c r="J169" s="26">
        <v>149131.5</v>
      </c>
      <c r="K169" s="27">
        <v>165490.54999999999</v>
      </c>
      <c r="L169" s="27">
        <v>165490.54999999999</v>
      </c>
      <c r="M169" s="27">
        <v>165490.54999999999</v>
      </c>
    </row>
    <row r="170" spans="1:13" ht="28.5" x14ac:dyDescent="0.25">
      <c r="A170" s="1" t="s">
        <v>105</v>
      </c>
      <c r="B170" s="1" t="s">
        <v>32</v>
      </c>
      <c r="C170" s="1" t="s">
        <v>19</v>
      </c>
      <c r="D170" s="4">
        <v>6</v>
      </c>
      <c r="E170" s="4">
        <v>8</v>
      </c>
      <c r="F170" s="4">
        <v>17</v>
      </c>
      <c r="G170" s="4">
        <v>17</v>
      </c>
      <c r="H170" s="4">
        <v>17</v>
      </c>
      <c r="I170" s="26">
        <v>348031.26</v>
      </c>
      <c r="J170" s="26">
        <v>213297.11</v>
      </c>
      <c r="K170" s="27">
        <v>235626.82</v>
      </c>
      <c r="L170" s="27">
        <v>235626.82</v>
      </c>
      <c r="M170" s="27">
        <v>235626.82</v>
      </c>
    </row>
    <row r="171" spans="1:13" ht="28.5" x14ac:dyDescent="0.25">
      <c r="A171" s="1" t="s">
        <v>106</v>
      </c>
      <c r="B171" s="1" t="s">
        <v>32</v>
      </c>
      <c r="C171" s="1" t="s">
        <v>19</v>
      </c>
      <c r="D171" s="4">
        <v>5</v>
      </c>
      <c r="E171" s="4">
        <v>0</v>
      </c>
      <c r="F171" s="4">
        <v>0</v>
      </c>
      <c r="G171" s="4">
        <v>0</v>
      </c>
      <c r="H171" s="4">
        <v>0</v>
      </c>
      <c r="I171" s="26">
        <v>484512.9</v>
      </c>
      <c r="J171" s="26">
        <v>0</v>
      </c>
      <c r="K171" s="27">
        <v>0</v>
      </c>
      <c r="L171" s="27">
        <v>0</v>
      </c>
      <c r="M171" s="27">
        <v>0</v>
      </c>
    </row>
    <row r="172" spans="1:13" ht="28.5" x14ac:dyDescent="0.25">
      <c r="A172" s="1" t="s">
        <v>107</v>
      </c>
      <c r="B172" s="1" t="s">
        <v>32</v>
      </c>
      <c r="C172" s="1" t="s">
        <v>19</v>
      </c>
      <c r="D172" s="4">
        <v>104</v>
      </c>
      <c r="E172" s="4">
        <v>64</v>
      </c>
      <c r="F172" s="4">
        <v>64</v>
      </c>
      <c r="G172" s="4">
        <v>64</v>
      </c>
      <c r="H172" s="4">
        <v>64</v>
      </c>
      <c r="I172" s="26">
        <v>2105348.96</v>
      </c>
      <c r="J172" s="26">
        <v>2176211.2000000002</v>
      </c>
      <c r="K172" s="27">
        <v>1935166.1</v>
      </c>
      <c r="L172" s="27">
        <v>916982.44</v>
      </c>
      <c r="M172" s="27">
        <v>631614.78</v>
      </c>
    </row>
    <row r="173" spans="1:13" ht="28.5" x14ac:dyDescent="0.25">
      <c r="A173" s="1" t="s">
        <v>108</v>
      </c>
      <c r="B173" s="1" t="s">
        <v>32</v>
      </c>
      <c r="C173" s="1" t="s">
        <v>19</v>
      </c>
      <c r="D173" s="4">
        <v>52</v>
      </c>
      <c r="E173" s="4">
        <v>51</v>
      </c>
      <c r="F173" s="4">
        <v>51</v>
      </c>
      <c r="G173" s="4">
        <v>51</v>
      </c>
      <c r="H173" s="4">
        <v>51</v>
      </c>
      <c r="I173" s="26">
        <v>1310402.08</v>
      </c>
      <c r="J173" s="26">
        <v>1920927.24</v>
      </c>
      <c r="K173" s="27">
        <v>1657466.28</v>
      </c>
      <c r="L173" s="27">
        <v>1349775.89</v>
      </c>
      <c r="M173" s="27">
        <v>1317873.22</v>
      </c>
    </row>
    <row r="174" spans="1:13" ht="28.5" x14ac:dyDescent="0.25">
      <c r="A174" s="1" t="s">
        <v>109</v>
      </c>
      <c r="B174" s="1" t="s">
        <v>32</v>
      </c>
      <c r="C174" s="1" t="s">
        <v>19</v>
      </c>
      <c r="D174" s="4">
        <v>326</v>
      </c>
      <c r="E174" s="4">
        <v>331</v>
      </c>
      <c r="F174" s="4">
        <f>234+19</f>
        <v>253</v>
      </c>
      <c r="G174" s="4">
        <f>234+19</f>
        <v>253</v>
      </c>
      <c r="H174" s="4">
        <f>234+19</f>
        <v>253</v>
      </c>
      <c r="I174" s="26">
        <v>4334773.0999999996</v>
      </c>
      <c r="J174" s="26">
        <v>4142610.64</v>
      </c>
      <c r="K174" s="27">
        <v>3564547.62</v>
      </c>
      <c r="L174" s="27">
        <v>3281085.08</v>
      </c>
      <c r="M174" s="27">
        <v>2531983.5099999998</v>
      </c>
    </row>
    <row r="175" spans="1:13" ht="28.5" x14ac:dyDescent="0.25">
      <c r="A175" s="1" t="s">
        <v>110</v>
      </c>
      <c r="B175" s="1" t="s">
        <v>32</v>
      </c>
      <c r="C175" s="1" t="s">
        <v>19</v>
      </c>
      <c r="D175" s="4">
        <v>301</v>
      </c>
      <c r="E175" s="4">
        <v>303</v>
      </c>
      <c r="F175" s="4">
        <f>400+20</f>
        <v>420</v>
      </c>
      <c r="G175" s="4">
        <f>400+20</f>
        <v>420</v>
      </c>
      <c r="H175" s="4">
        <f>400+20</f>
        <v>420</v>
      </c>
      <c r="I175" s="26">
        <v>5967370.1500000004</v>
      </c>
      <c r="J175" s="26">
        <v>6314426.0700000003</v>
      </c>
      <c r="K175" s="27">
        <v>8243538.2400000002</v>
      </c>
      <c r="L175" s="27">
        <v>8246688.3200000003</v>
      </c>
      <c r="M175" s="27">
        <v>8145600.8399999999</v>
      </c>
    </row>
    <row r="176" spans="1:13" ht="28.5" x14ac:dyDescent="0.25">
      <c r="A176" s="1" t="s">
        <v>111</v>
      </c>
      <c r="B176" s="1" t="s">
        <v>32</v>
      </c>
      <c r="C176" s="1" t="s">
        <v>19</v>
      </c>
      <c r="D176" s="4">
        <v>10</v>
      </c>
      <c r="E176" s="4">
        <v>10</v>
      </c>
      <c r="F176" s="4">
        <v>10</v>
      </c>
      <c r="G176" s="4">
        <v>10</v>
      </c>
      <c r="H176" s="4">
        <v>10</v>
      </c>
      <c r="I176" s="26">
        <v>710547.5</v>
      </c>
      <c r="J176" s="26">
        <v>612021.9</v>
      </c>
      <c r="K176" s="27">
        <v>628875.30000000005</v>
      </c>
      <c r="L176" s="27">
        <v>628875.30000000005</v>
      </c>
      <c r="M176" s="27">
        <v>628875.30000000005</v>
      </c>
    </row>
    <row r="177" spans="1:13" ht="28.5" x14ac:dyDescent="0.25">
      <c r="A177" s="1" t="s">
        <v>112</v>
      </c>
      <c r="B177" s="1" t="s">
        <v>32</v>
      </c>
      <c r="C177" s="1" t="s">
        <v>19</v>
      </c>
      <c r="D177" s="4">
        <v>31</v>
      </c>
      <c r="E177" s="4">
        <v>0</v>
      </c>
      <c r="F177" s="4">
        <v>0</v>
      </c>
      <c r="G177" s="4">
        <v>0</v>
      </c>
      <c r="H177" s="4">
        <v>0</v>
      </c>
      <c r="I177" s="26">
        <v>562599.47</v>
      </c>
      <c r="J177" s="26">
        <v>0</v>
      </c>
      <c r="K177" s="27">
        <v>0</v>
      </c>
      <c r="L177" s="27">
        <v>0</v>
      </c>
      <c r="M177" s="27">
        <v>0</v>
      </c>
    </row>
    <row r="178" spans="1:13" ht="28.5" x14ac:dyDescent="0.25">
      <c r="A178" s="1" t="s">
        <v>113</v>
      </c>
      <c r="B178" s="1" t="s">
        <v>32</v>
      </c>
      <c r="C178" s="1" t="s">
        <v>19</v>
      </c>
      <c r="D178" s="4">
        <f>34+14</f>
        <v>48</v>
      </c>
      <c r="E178" s="4">
        <f>36+10</f>
        <v>46</v>
      </c>
      <c r="F178" s="4">
        <f>26+10</f>
        <v>36</v>
      </c>
      <c r="G178" s="4">
        <f>26+10</f>
        <v>36</v>
      </c>
      <c r="H178" s="4">
        <f>26+10</f>
        <v>36</v>
      </c>
      <c r="I178" s="26">
        <f>743126.44+247018.24</f>
        <v>990144.67999999993</v>
      </c>
      <c r="J178" s="26">
        <f>756682.2+152467.4</f>
        <v>909149.6</v>
      </c>
      <c r="K178" s="27">
        <f>721476.86+318789.2</f>
        <v>1040266.06</v>
      </c>
      <c r="L178" s="27">
        <f>721476.86+331540.7</f>
        <v>1053017.56</v>
      </c>
      <c r="M178" s="27">
        <f>721476.86+344802.3</f>
        <v>1066279.1599999999</v>
      </c>
    </row>
    <row r="179" spans="1:13" ht="28.5" x14ac:dyDescent="0.25">
      <c r="A179" s="1" t="s">
        <v>114</v>
      </c>
      <c r="B179" s="1" t="s">
        <v>32</v>
      </c>
      <c r="C179" s="1" t="s">
        <v>19</v>
      </c>
      <c r="D179" s="4">
        <f>12+10</f>
        <v>22</v>
      </c>
      <c r="E179" s="4">
        <f>22+23</f>
        <v>45</v>
      </c>
      <c r="F179" s="4">
        <f>15+23</f>
        <v>38</v>
      </c>
      <c r="G179" s="4">
        <f>15+23</f>
        <v>38</v>
      </c>
      <c r="H179" s="4">
        <f>15+23</f>
        <v>38</v>
      </c>
      <c r="I179" s="26">
        <f>399843.12+259039</f>
        <v>658882.12</v>
      </c>
      <c r="J179" s="26">
        <f>696304.4+627086.03</f>
        <v>1323390.4300000002</v>
      </c>
      <c r="K179" s="27">
        <f>558560.25+733215.16</f>
        <v>1291775.4100000001</v>
      </c>
      <c r="L179" s="27">
        <f>558560.25+762543.61</f>
        <v>1321103.8599999999</v>
      </c>
      <c r="M179" s="27">
        <f>558560.25+793045.29</f>
        <v>1351605.54</v>
      </c>
    </row>
    <row r="180" spans="1:13" ht="28.5" x14ac:dyDescent="0.25">
      <c r="A180" s="1" t="s">
        <v>115</v>
      </c>
      <c r="B180" s="1" t="s">
        <v>32</v>
      </c>
      <c r="C180" s="1" t="s">
        <v>19</v>
      </c>
      <c r="D180" s="4">
        <v>9</v>
      </c>
      <c r="E180" s="4">
        <v>9</v>
      </c>
      <c r="F180" s="4">
        <v>14</v>
      </c>
      <c r="G180" s="4">
        <v>14</v>
      </c>
      <c r="H180" s="4">
        <v>14</v>
      </c>
      <c r="I180" s="26">
        <v>681204.51</v>
      </c>
      <c r="J180" s="26">
        <v>793710.45</v>
      </c>
      <c r="K180" s="27">
        <v>1164938.68</v>
      </c>
      <c r="L180" s="27">
        <v>857248.29</v>
      </c>
      <c r="M180" s="27">
        <v>825345.62</v>
      </c>
    </row>
    <row r="181" spans="1:13" ht="28.5" x14ac:dyDescent="0.25">
      <c r="A181" s="1" t="s">
        <v>116</v>
      </c>
      <c r="B181" s="1" t="s">
        <v>32</v>
      </c>
      <c r="C181" s="1" t="s">
        <v>19</v>
      </c>
      <c r="D181" s="4">
        <v>43</v>
      </c>
      <c r="E181" s="4">
        <v>42</v>
      </c>
      <c r="F181" s="4">
        <v>39</v>
      </c>
      <c r="G181" s="4">
        <v>39</v>
      </c>
      <c r="H181" s="4">
        <v>39</v>
      </c>
      <c r="I181" s="26">
        <v>711246.66</v>
      </c>
      <c r="J181" s="26">
        <v>797090.28</v>
      </c>
      <c r="K181" s="27">
        <v>875373.72</v>
      </c>
      <c r="L181" s="27">
        <v>875373.72</v>
      </c>
      <c r="M181" s="27">
        <v>875373.72</v>
      </c>
    </row>
    <row r="182" spans="1:13" ht="28.5" x14ac:dyDescent="0.25">
      <c r="A182" s="1" t="s">
        <v>117</v>
      </c>
      <c r="B182" s="1" t="s">
        <v>32</v>
      </c>
      <c r="C182" s="1" t="s">
        <v>19</v>
      </c>
      <c r="D182" s="4">
        <v>11</v>
      </c>
      <c r="E182" s="4">
        <v>15</v>
      </c>
      <c r="F182" s="4">
        <v>27</v>
      </c>
      <c r="G182" s="4">
        <v>27</v>
      </c>
      <c r="H182" s="4">
        <v>27</v>
      </c>
      <c r="I182" s="26">
        <v>247961.23</v>
      </c>
      <c r="J182" s="26">
        <v>373528.5</v>
      </c>
      <c r="K182" s="27">
        <v>564029.86</v>
      </c>
      <c r="L182" s="27">
        <v>966832.74</v>
      </c>
      <c r="M182" s="27">
        <v>966832.74</v>
      </c>
    </row>
    <row r="183" spans="1:13" ht="28.5" x14ac:dyDescent="0.25">
      <c r="A183" s="1" t="s">
        <v>118</v>
      </c>
      <c r="B183" s="1" t="s">
        <v>32</v>
      </c>
      <c r="C183" s="1" t="s">
        <v>19</v>
      </c>
      <c r="D183" s="4">
        <v>14</v>
      </c>
      <c r="E183" s="4">
        <v>14</v>
      </c>
      <c r="F183" s="4">
        <v>15</v>
      </c>
      <c r="G183" s="4">
        <v>15</v>
      </c>
      <c r="H183" s="4">
        <v>15</v>
      </c>
      <c r="I183" s="26">
        <v>310904.3</v>
      </c>
      <c r="J183" s="26">
        <v>394956.38</v>
      </c>
      <c r="K183" s="27">
        <v>514295.1</v>
      </c>
      <c r="L183" s="27">
        <v>514295.1</v>
      </c>
      <c r="M183" s="27">
        <v>514295.1</v>
      </c>
    </row>
    <row r="184" spans="1:13" ht="28.5" x14ac:dyDescent="0.25">
      <c r="A184" s="1" t="s">
        <v>119</v>
      </c>
      <c r="B184" s="1" t="s">
        <v>32</v>
      </c>
      <c r="C184" s="1" t="s">
        <v>19</v>
      </c>
      <c r="D184" s="4">
        <v>12</v>
      </c>
      <c r="E184" s="4">
        <v>12</v>
      </c>
      <c r="F184" s="4">
        <v>12</v>
      </c>
      <c r="G184" s="4">
        <v>12</v>
      </c>
      <c r="H184" s="4">
        <v>12</v>
      </c>
      <c r="I184" s="26">
        <v>309285.48</v>
      </c>
      <c r="J184" s="26">
        <v>385946.04</v>
      </c>
      <c r="K184" s="27">
        <v>492363.48</v>
      </c>
      <c r="L184" s="27">
        <v>492363.48</v>
      </c>
      <c r="M184" s="27">
        <v>492363.48</v>
      </c>
    </row>
    <row r="185" spans="1:13" ht="28.5" x14ac:dyDescent="0.25">
      <c r="A185" s="1" t="s">
        <v>120</v>
      </c>
      <c r="B185" s="1" t="s">
        <v>32</v>
      </c>
      <c r="C185" s="1" t="s">
        <v>19</v>
      </c>
      <c r="D185" s="4">
        <v>6</v>
      </c>
      <c r="E185" s="4">
        <v>6</v>
      </c>
      <c r="F185" s="4">
        <v>6</v>
      </c>
      <c r="G185" s="4">
        <v>6</v>
      </c>
      <c r="H185" s="4">
        <v>6</v>
      </c>
      <c r="I185" s="26">
        <v>497614.68</v>
      </c>
      <c r="J185" s="26">
        <v>684595.68</v>
      </c>
      <c r="K185" s="27">
        <v>931815.96</v>
      </c>
      <c r="L185" s="27">
        <v>931815.96</v>
      </c>
      <c r="M185" s="27">
        <v>931815.96</v>
      </c>
    </row>
    <row r="186" spans="1:13" ht="28.5" x14ac:dyDescent="0.25">
      <c r="A186" s="1" t="s">
        <v>121</v>
      </c>
      <c r="B186" s="1" t="s">
        <v>32</v>
      </c>
      <c r="C186" s="1" t="s">
        <v>19</v>
      </c>
      <c r="D186" s="4">
        <v>8</v>
      </c>
      <c r="E186" s="4">
        <v>8</v>
      </c>
      <c r="F186" s="4">
        <v>8</v>
      </c>
      <c r="G186" s="16">
        <v>8</v>
      </c>
      <c r="H186" s="4">
        <v>8</v>
      </c>
      <c r="I186" s="26">
        <v>766171.04</v>
      </c>
      <c r="J186" s="26">
        <v>1068612.96</v>
      </c>
      <c r="K186" s="27">
        <v>825046.24</v>
      </c>
      <c r="L186" s="27">
        <v>825046.24</v>
      </c>
      <c r="M186" s="27">
        <v>825046.24</v>
      </c>
    </row>
    <row r="187" spans="1:13" ht="28.5" x14ac:dyDescent="0.25">
      <c r="A187" s="1" t="s">
        <v>122</v>
      </c>
      <c r="B187" s="1" t="s">
        <v>32</v>
      </c>
      <c r="C187" s="1" t="s">
        <v>19</v>
      </c>
      <c r="D187" s="4">
        <v>97</v>
      </c>
      <c r="E187" s="4">
        <v>111</v>
      </c>
      <c r="F187" s="4">
        <v>92</v>
      </c>
      <c r="G187" s="16">
        <v>92</v>
      </c>
      <c r="H187" s="4">
        <v>92</v>
      </c>
      <c r="I187" s="26">
        <v>1745373.38</v>
      </c>
      <c r="J187" s="26">
        <v>1551593.52</v>
      </c>
      <c r="K187" s="27">
        <v>2127254.88</v>
      </c>
      <c r="L187" s="27">
        <v>1629187.9</v>
      </c>
      <c r="M187" s="27">
        <v>1687389.28</v>
      </c>
    </row>
    <row r="188" spans="1:13" ht="28.5" x14ac:dyDescent="0.25">
      <c r="A188" s="1" t="s">
        <v>123</v>
      </c>
      <c r="B188" s="1" t="s">
        <v>32</v>
      </c>
      <c r="C188" s="1" t="s">
        <v>19</v>
      </c>
      <c r="D188" s="4">
        <v>67</v>
      </c>
      <c r="E188" s="4">
        <v>49</v>
      </c>
      <c r="F188" s="4">
        <v>29</v>
      </c>
      <c r="G188" s="16">
        <v>29</v>
      </c>
      <c r="H188" s="4">
        <v>29</v>
      </c>
      <c r="I188" s="26">
        <v>1905365.43</v>
      </c>
      <c r="J188" s="26">
        <v>1645391.58</v>
      </c>
      <c r="K188" s="27">
        <v>924488.68</v>
      </c>
      <c r="L188" s="27">
        <v>961468.03</v>
      </c>
      <c r="M188" s="27">
        <v>999926.67</v>
      </c>
    </row>
    <row r="189" spans="1:13" ht="28.5" x14ac:dyDescent="0.25">
      <c r="A189" s="1" t="s">
        <v>124</v>
      </c>
      <c r="B189" s="1" t="s">
        <v>32</v>
      </c>
      <c r="C189" s="1" t="s">
        <v>19</v>
      </c>
      <c r="D189" s="4">
        <f>170+65+72</f>
        <v>307</v>
      </c>
      <c r="E189" s="4">
        <f>132+74+84</f>
        <v>290</v>
      </c>
      <c r="F189" s="4">
        <f>149+74+36</f>
        <v>259</v>
      </c>
      <c r="G189" s="16">
        <f>149+74+36</f>
        <v>259</v>
      </c>
      <c r="H189" s="4">
        <f>149+74+36</f>
        <v>259</v>
      </c>
      <c r="I189" s="26">
        <f>3115125.9+733230.55+495537.84</f>
        <v>4343894.29</v>
      </c>
      <c r="J189" s="26">
        <f>2205623.64+792601.42+763891.8</f>
        <v>3762116.8600000003</v>
      </c>
      <c r="K189" s="27">
        <v>4380622.58</v>
      </c>
      <c r="L189" s="27">
        <v>4145464.13</v>
      </c>
      <c r="M189" s="27">
        <v>4215451.29</v>
      </c>
    </row>
    <row r="190" spans="1:13" ht="28.5" x14ac:dyDescent="0.25">
      <c r="A190" s="1" t="s">
        <v>125</v>
      </c>
      <c r="B190" s="1" t="s">
        <v>32</v>
      </c>
      <c r="C190" s="1" t="s">
        <v>19</v>
      </c>
      <c r="D190" s="4">
        <f>48+57+87</f>
        <v>192</v>
      </c>
      <c r="E190" s="4">
        <f>64+62+64</f>
        <v>190</v>
      </c>
      <c r="F190" s="4">
        <f>64+62+84</f>
        <v>210</v>
      </c>
      <c r="G190" s="4">
        <f>64+62+84</f>
        <v>210</v>
      </c>
      <c r="H190" s="4">
        <f>64+62+84</f>
        <v>210</v>
      </c>
      <c r="I190" s="26">
        <f>1386909.6+1719138.24+1274160.24</f>
        <v>4380208.08</v>
      </c>
      <c r="J190" s="26">
        <f>2273994.88+1813160.24+1723998.72</f>
        <v>5811153.8399999999</v>
      </c>
      <c r="K190" s="27">
        <v>5470451.2800000003</v>
      </c>
      <c r="L190" s="27">
        <v>4628989.71</v>
      </c>
      <c r="M190" s="27">
        <v>4618155.9400000004</v>
      </c>
    </row>
    <row r="191" spans="1:13" ht="28.5" x14ac:dyDescent="0.25">
      <c r="A191" s="1" t="s">
        <v>126</v>
      </c>
      <c r="B191" s="1" t="s">
        <v>32</v>
      </c>
      <c r="C191" s="1" t="s">
        <v>19</v>
      </c>
      <c r="D191" s="4">
        <f>10+3+12</f>
        <v>25</v>
      </c>
      <c r="E191" s="4">
        <f>7+6+10</f>
        <v>23</v>
      </c>
      <c r="F191" s="4">
        <f>7+6+18</f>
        <v>31</v>
      </c>
      <c r="G191" s="4">
        <f>7+6+18</f>
        <v>31</v>
      </c>
      <c r="H191" s="4">
        <f>7+6+18</f>
        <v>31</v>
      </c>
      <c r="I191" s="26">
        <f>570059.6+764194.56+402578.76</f>
        <v>1736832.9200000002</v>
      </c>
      <c r="J191" s="26">
        <f>510463.45+1498147.68+457569.1</f>
        <v>2466180.23</v>
      </c>
      <c r="K191" s="27">
        <v>2456561.02</v>
      </c>
      <c r="L191" s="27">
        <v>2157796.6800000002</v>
      </c>
      <c r="M191" s="27">
        <v>2135177.13</v>
      </c>
    </row>
    <row r="192" spans="1:13" ht="28.5" x14ac:dyDescent="0.25">
      <c r="A192" s="1" t="s">
        <v>127</v>
      </c>
      <c r="B192" s="1" t="s">
        <v>32</v>
      </c>
      <c r="C192" s="1" t="s">
        <v>19</v>
      </c>
      <c r="D192" s="4">
        <v>0</v>
      </c>
      <c r="E192" s="4">
        <v>5</v>
      </c>
      <c r="F192" s="4">
        <v>5</v>
      </c>
      <c r="G192" s="16">
        <v>5</v>
      </c>
      <c r="H192" s="4">
        <v>5</v>
      </c>
      <c r="I192" s="26">
        <v>0</v>
      </c>
      <c r="J192" s="26">
        <v>599352.25</v>
      </c>
      <c r="K192" s="27">
        <v>159394.6</v>
      </c>
      <c r="L192" s="27">
        <v>165770.35</v>
      </c>
      <c r="M192" s="27">
        <v>172401.15</v>
      </c>
    </row>
    <row r="193" spans="1:13" ht="28.5" x14ac:dyDescent="0.25">
      <c r="A193" s="1" t="s">
        <v>128</v>
      </c>
      <c r="B193" s="1" t="s">
        <v>32</v>
      </c>
      <c r="C193" s="1" t="s">
        <v>19</v>
      </c>
      <c r="D193" s="4">
        <v>0</v>
      </c>
      <c r="E193" s="4">
        <v>24</v>
      </c>
      <c r="F193" s="4">
        <v>36</v>
      </c>
      <c r="G193" s="16">
        <v>36</v>
      </c>
      <c r="H193" s="4">
        <v>36</v>
      </c>
      <c r="I193" s="26">
        <v>0</v>
      </c>
      <c r="J193" s="26">
        <v>339232.56</v>
      </c>
      <c r="K193" s="27">
        <v>744838.24</v>
      </c>
      <c r="L193" s="27">
        <v>483053.25</v>
      </c>
      <c r="M193" s="27">
        <v>498892.34</v>
      </c>
    </row>
    <row r="194" spans="1:13" x14ac:dyDescent="0.25">
      <c r="A194" s="24" t="s">
        <v>129</v>
      </c>
      <c r="B194" s="24"/>
      <c r="C194" s="24"/>
      <c r="D194" s="23"/>
      <c r="E194" s="23"/>
      <c r="F194" s="23"/>
      <c r="G194" s="23"/>
      <c r="H194" s="23"/>
      <c r="I194" s="25">
        <f t="shared" ref="I194:M194" si="16">I195+I196+I197</f>
        <v>1903630.48</v>
      </c>
      <c r="J194" s="25">
        <f t="shared" si="16"/>
        <v>1781582.5899999999</v>
      </c>
      <c r="K194" s="25">
        <f t="shared" si="16"/>
        <v>1909287.99</v>
      </c>
      <c r="L194" s="25">
        <f t="shared" si="16"/>
        <v>1909287.99</v>
      </c>
      <c r="M194" s="25">
        <f t="shared" si="16"/>
        <v>1909287.99</v>
      </c>
    </row>
    <row r="195" spans="1:13" ht="28.5" x14ac:dyDescent="0.25">
      <c r="A195" s="3" t="s">
        <v>80</v>
      </c>
      <c r="B195" s="1" t="s">
        <v>32</v>
      </c>
      <c r="C195" s="1" t="s">
        <v>19</v>
      </c>
      <c r="D195" s="4">
        <v>40</v>
      </c>
      <c r="E195" s="4">
        <v>40</v>
      </c>
      <c r="F195" s="4">
        <v>10</v>
      </c>
      <c r="G195" s="4">
        <v>10</v>
      </c>
      <c r="H195" s="4">
        <v>10</v>
      </c>
      <c r="I195" s="26">
        <v>770532.8</v>
      </c>
      <c r="J195" s="26">
        <v>890383.6</v>
      </c>
      <c r="K195" s="27">
        <v>344358</v>
      </c>
      <c r="L195" s="27">
        <v>344358</v>
      </c>
      <c r="M195" s="27">
        <v>344358</v>
      </c>
    </row>
    <row r="196" spans="1:13" ht="28.5" x14ac:dyDescent="0.25">
      <c r="A196" s="1" t="s">
        <v>81</v>
      </c>
      <c r="B196" s="1" t="s">
        <v>32</v>
      </c>
      <c r="C196" s="1" t="s">
        <v>19</v>
      </c>
      <c r="D196" s="4">
        <v>0</v>
      </c>
      <c r="E196" s="4">
        <v>0</v>
      </c>
      <c r="F196" s="4">
        <v>15</v>
      </c>
      <c r="G196" s="4">
        <v>15</v>
      </c>
      <c r="H196" s="4">
        <v>15</v>
      </c>
      <c r="I196" s="26">
        <v>0</v>
      </c>
      <c r="J196" s="26">
        <v>0</v>
      </c>
      <c r="K196" s="27">
        <v>471742.95</v>
      </c>
      <c r="L196" s="27">
        <v>471742.95</v>
      </c>
      <c r="M196" s="27">
        <v>471742.95</v>
      </c>
    </row>
    <row r="197" spans="1:13" ht="28.5" x14ac:dyDescent="0.25">
      <c r="A197" s="1" t="s">
        <v>130</v>
      </c>
      <c r="B197" s="1" t="s">
        <v>32</v>
      </c>
      <c r="C197" s="1" t="s">
        <v>19</v>
      </c>
      <c r="D197" s="4">
        <v>19</v>
      </c>
      <c r="E197" s="4">
        <v>19</v>
      </c>
      <c r="F197" s="4">
        <v>12</v>
      </c>
      <c r="G197" s="4">
        <v>12</v>
      </c>
      <c r="H197" s="4">
        <v>12</v>
      </c>
      <c r="I197" s="26">
        <v>1133097.68</v>
      </c>
      <c r="J197" s="26">
        <v>891198.99</v>
      </c>
      <c r="K197" s="27">
        <v>1093187.04</v>
      </c>
      <c r="L197" s="27">
        <v>1093187.04</v>
      </c>
      <c r="M197" s="27">
        <v>1093187.04</v>
      </c>
    </row>
    <row r="198" spans="1:13" s="28" customFormat="1" x14ac:dyDescent="0.25">
      <c r="A198" s="13" t="s">
        <v>21</v>
      </c>
      <c r="B198" s="53" t="s">
        <v>131</v>
      </c>
      <c r="C198" s="13" t="s">
        <v>24</v>
      </c>
      <c r="D198" s="14"/>
      <c r="E198" s="14"/>
      <c r="F198" s="14"/>
      <c r="G198" s="14"/>
      <c r="H198" s="14"/>
      <c r="I198" s="54">
        <v>24447772.239999998</v>
      </c>
      <c r="J198" s="54">
        <v>43998930</v>
      </c>
      <c r="K198" s="55">
        <v>73759481.090000004</v>
      </c>
      <c r="L198" s="55">
        <v>41932206.189999998</v>
      </c>
      <c r="M198" s="55">
        <v>46930358.189999998</v>
      </c>
    </row>
    <row r="199" spans="1:13" s="28" customFormat="1" x14ac:dyDescent="0.25">
      <c r="A199" s="13" t="s">
        <v>22</v>
      </c>
      <c r="B199" s="13" t="s">
        <v>20</v>
      </c>
      <c r="C199" s="56" t="s">
        <v>17</v>
      </c>
      <c r="D199" s="14"/>
      <c r="E199" s="14"/>
      <c r="F199" s="14"/>
      <c r="G199" s="14"/>
      <c r="H199" s="14"/>
      <c r="I199" s="54">
        <v>1310621.3400000001</v>
      </c>
      <c r="J199" s="54">
        <v>1347269.51</v>
      </c>
      <c r="K199" s="55">
        <v>1400452.07</v>
      </c>
      <c r="L199" s="55">
        <v>1400452.07</v>
      </c>
      <c r="M199" s="55">
        <v>1400452.07</v>
      </c>
    </row>
    <row r="200" spans="1:13" s="28" customFormat="1" x14ac:dyDescent="0.25">
      <c r="A200" s="1" t="s">
        <v>132</v>
      </c>
      <c r="B200" s="1"/>
      <c r="C200" s="3"/>
      <c r="D200" s="4"/>
      <c r="E200" s="4"/>
      <c r="F200" s="4"/>
      <c r="G200" s="4"/>
      <c r="H200" s="4"/>
      <c r="I200" s="10"/>
      <c r="J200" s="10">
        <v>3659103.67</v>
      </c>
      <c r="K200" s="57"/>
      <c r="L200" s="57"/>
      <c r="M200" s="57"/>
    </row>
    <row r="201" spans="1:13" ht="29.25" customHeight="1" x14ac:dyDescent="0.25">
      <c r="A201" s="65" t="s">
        <v>5</v>
      </c>
      <c r="B201" s="66"/>
      <c r="C201" s="66"/>
      <c r="D201" s="66"/>
      <c r="E201" s="66"/>
      <c r="F201" s="66"/>
      <c r="G201" s="66"/>
      <c r="H201" s="66"/>
      <c r="I201" s="11">
        <f>I4+I9+I57+I77+I89+I92</f>
        <v>6369191889.7799997</v>
      </c>
      <c r="J201" s="11">
        <f>J4+J9+J57+J77+J89+J92</f>
        <v>7081309587.9877691</v>
      </c>
      <c r="K201" s="11">
        <f>K4+K9+K57+K77+K89+K92</f>
        <v>7240898159.6233292</v>
      </c>
      <c r="L201" s="11">
        <f>L4+L9+L57+L77+L89+L92</f>
        <v>6960528319.7039967</v>
      </c>
      <c r="M201" s="11">
        <f>M4+M9+M57+M77+M89+M92</f>
        <v>7028415825.0159969</v>
      </c>
    </row>
    <row r="203" spans="1:13" x14ac:dyDescent="0.25">
      <c r="I203" s="12"/>
      <c r="J203" s="12"/>
      <c r="K203" s="12"/>
      <c r="L203" s="12"/>
      <c r="M203" s="12"/>
    </row>
    <row r="204" spans="1:13" x14ac:dyDescent="0.25">
      <c r="I204" s="12"/>
      <c r="J204" s="12"/>
      <c r="K204" s="12"/>
      <c r="L204" s="12"/>
      <c r="M204" s="12"/>
    </row>
    <row r="206" spans="1:13" x14ac:dyDescent="0.25">
      <c r="I206" s="12"/>
    </row>
  </sheetData>
  <autoFilter ref="A3:M201"/>
  <mergeCells count="25">
    <mergeCell ref="A1:M1"/>
    <mergeCell ref="A201:H201"/>
    <mergeCell ref="D2:H2"/>
    <mergeCell ref="I2:M2"/>
    <mergeCell ref="A2:A3"/>
    <mergeCell ref="B2:B3"/>
    <mergeCell ref="C2:C3"/>
    <mergeCell ref="A7:A8"/>
    <mergeCell ref="I7:I8"/>
    <mergeCell ref="J7:J8"/>
    <mergeCell ref="K7:K8"/>
    <mergeCell ref="L7:L8"/>
    <mergeCell ref="M7:M8"/>
    <mergeCell ref="A78:A83"/>
    <mergeCell ref="I78:I83"/>
    <mergeCell ref="J78:J83"/>
    <mergeCell ref="K78:K83"/>
    <mergeCell ref="L78:L83"/>
    <mergeCell ref="M78:M83"/>
    <mergeCell ref="A84:A86"/>
    <mergeCell ref="I84:I86"/>
    <mergeCell ref="J84:J86"/>
    <mergeCell ref="K84:K86"/>
    <mergeCell ref="L84:L86"/>
    <mergeCell ref="M84:M86"/>
  </mergeCells>
  <pageMargins left="0" right="0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2021 - 2025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Анна В. Цурган</cp:lastModifiedBy>
  <cp:lastPrinted>2021-11-26T09:03:00Z</cp:lastPrinted>
  <dcterms:created xsi:type="dcterms:W3CDTF">2018-05-11T06:33:41Z</dcterms:created>
  <dcterms:modified xsi:type="dcterms:W3CDTF">2022-12-09T10:04:15Z</dcterms:modified>
</cp:coreProperties>
</file>